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-180" yWindow="400" windowWidth="37480" windowHeight="23560"/>
  </bookViews>
  <sheets>
    <sheet name="CLEOv5" sheetId="11" r:id="rId1"/>
    <sheet name="CLEOv4" sheetId="10" r:id="rId2"/>
    <sheet name="CLEOv2" sheetId="7" r:id="rId3"/>
    <sheet name="CLEOv1" sheetId="6" r:id="rId4"/>
    <sheet name="CDFv4" sheetId="8" r:id="rId5"/>
    <sheet name="CDFv3" sheetId="5" r:id="rId6"/>
    <sheet name="CDFv2" sheetId="1" r:id="rId7"/>
    <sheet name="ZEUSv1" sheetId="2" r:id="rId8"/>
    <sheet name="BabarV3" sheetId="3" r:id="rId9"/>
    <sheet name="Solcust" sheetId="4" r:id="rId10"/>
  </sheets>
  <definedNames>
    <definedName name="cleov5wedge15" localSheetId="0">CLEOv5!$J$158:$S$165</definedName>
    <definedName name="cleov5wedge35" localSheetId="0">CLEOv5!$J$167:$S$174</definedName>
    <definedName name="cleov5wedge65" localSheetId="0">CLEOv5!$J$176:$S$183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8" i="11" l="1"/>
  <c r="D10" i="11"/>
  <c r="C127" i="11"/>
  <c r="C96" i="11"/>
  <c r="C88" i="11"/>
  <c r="C89" i="11"/>
  <c r="C112" i="11"/>
  <c r="C192" i="11"/>
  <c r="K5" i="11"/>
  <c r="E112" i="11"/>
  <c r="E188" i="11"/>
  <c r="E192" i="11"/>
  <c r="E191" i="11"/>
  <c r="C191" i="11"/>
  <c r="C189" i="11"/>
  <c r="E189" i="11"/>
  <c r="E190" i="11"/>
  <c r="C190" i="11"/>
  <c r="E127" i="11"/>
  <c r="E128" i="11"/>
  <c r="E140" i="11"/>
  <c r="E141" i="11"/>
  <c r="H141" i="11"/>
  <c r="E142" i="11"/>
  <c r="E171" i="11"/>
  <c r="E179" i="11"/>
  <c r="C179" i="11"/>
  <c r="E143" i="11"/>
  <c r="E180" i="11"/>
  <c r="C128" i="11"/>
  <c r="C140" i="11"/>
  <c r="C143" i="11"/>
  <c r="C180" i="11"/>
  <c r="C45" i="11"/>
  <c r="C53" i="11"/>
  <c r="C61" i="11"/>
  <c r="C69" i="11"/>
  <c r="C77" i="11"/>
  <c r="C86" i="11"/>
  <c r="C94" i="11"/>
  <c r="C108" i="11"/>
  <c r="C116" i="11"/>
  <c r="C125" i="11"/>
  <c r="C138" i="11"/>
  <c r="E150" i="11"/>
  <c r="E151" i="11"/>
  <c r="C118" i="11"/>
  <c r="C119" i="11"/>
  <c r="C120" i="11"/>
  <c r="C121" i="11"/>
  <c r="C148" i="11"/>
  <c r="C151" i="11"/>
  <c r="C146" i="11"/>
  <c r="C154" i="11"/>
  <c r="C161" i="11"/>
  <c r="C169" i="11"/>
  <c r="C177" i="11"/>
  <c r="C186" i="11"/>
  <c r="E120" i="11"/>
  <c r="H147" i="11"/>
  <c r="K13" i="11"/>
  <c r="K9" i="11"/>
  <c r="K7" i="11"/>
  <c r="C91" i="11"/>
  <c r="C110" i="11"/>
  <c r="C111" i="11"/>
  <c r="E111" i="11"/>
  <c r="C113" i="11"/>
  <c r="E90" i="11"/>
  <c r="E91" i="11"/>
  <c r="E110" i="11"/>
  <c r="E172" i="11"/>
  <c r="E173" i="11"/>
  <c r="C172" i="11"/>
  <c r="C173" i="11"/>
  <c r="C174" i="11"/>
  <c r="E89" i="11"/>
  <c r="E163" i="11"/>
  <c r="E164" i="11"/>
  <c r="E165" i="11"/>
  <c r="E166" i="11"/>
  <c r="C163" i="11"/>
  <c r="C164" i="11"/>
  <c r="C165" i="11"/>
  <c r="C166" i="11"/>
  <c r="C156" i="11"/>
  <c r="C157" i="11"/>
  <c r="C158" i="11"/>
  <c r="D30" i="11"/>
  <c r="D29" i="11"/>
  <c r="D28" i="11"/>
  <c r="D35" i="11"/>
  <c r="D36" i="11"/>
  <c r="E184" i="11"/>
  <c r="C184" i="11"/>
  <c r="E183" i="11"/>
  <c r="C183" i="11"/>
  <c r="E129" i="11"/>
  <c r="E130" i="11"/>
  <c r="E182" i="11"/>
  <c r="C130" i="11"/>
  <c r="C182" i="11"/>
  <c r="E181" i="11"/>
  <c r="C129" i="11"/>
  <c r="C181" i="11"/>
  <c r="E175" i="11"/>
  <c r="C175" i="11"/>
  <c r="E174" i="11"/>
  <c r="E167" i="11"/>
  <c r="C167" i="11"/>
  <c r="E156" i="11"/>
  <c r="E159" i="11"/>
  <c r="C159" i="11"/>
  <c r="E73" i="11"/>
  <c r="E157" i="11"/>
  <c r="E158" i="11"/>
  <c r="E148" i="11"/>
  <c r="E152" i="11"/>
  <c r="C152" i="11"/>
  <c r="C149" i="11"/>
  <c r="C150" i="11"/>
  <c r="E149" i="11"/>
  <c r="E144" i="11"/>
  <c r="C144" i="11"/>
  <c r="C141" i="11"/>
  <c r="C142" i="11"/>
  <c r="E136" i="11"/>
  <c r="C136" i="11"/>
  <c r="E79" i="11"/>
  <c r="E135" i="11"/>
  <c r="C135" i="11"/>
  <c r="E133" i="11"/>
  <c r="E134" i="11"/>
  <c r="C134" i="11"/>
  <c r="C133" i="11"/>
  <c r="E132" i="11"/>
  <c r="C132" i="11"/>
  <c r="C131" i="11"/>
  <c r="E131" i="11"/>
  <c r="H131" i="11"/>
  <c r="H129" i="11"/>
  <c r="F10" i="11"/>
  <c r="E118" i="11"/>
  <c r="E123" i="11"/>
  <c r="C123" i="11"/>
  <c r="C122" i="11"/>
  <c r="E122" i="11"/>
  <c r="E121" i="11"/>
  <c r="E119" i="11"/>
  <c r="E114" i="11"/>
  <c r="C114" i="11"/>
  <c r="E113" i="11"/>
  <c r="E105" i="11"/>
  <c r="C105" i="11"/>
  <c r="E104" i="11"/>
  <c r="C104" i="11"/>
  <c r="E103" i="11"/>
  <c r="C103" i="11"/>
  <c r="E102" i="11"/>
  <c r="C102" i="11"/>
  <c r="E101" i="11"/>
  <c r="C101" i="11"/>
  <c r="E100" i="11"/>
  <c r="C100" i="11"/>
  <c r="E99" i="11"/>
  <c r="C99" i="11"/>
  <c r="E98" i="11"/>
  <c r="C98" i="11"/>
  <c r="E97" i="11"/>
  <c r="C97" i="11"/>
  <c r="E96" i="11"/>
  <c r="E88" i="11"/>
  <c r="E92" i="11"/>
  <c r="C92" i="11"/>
  <c r="C90" i="11"/>
  <c r="E83" i="11"/>
  <c r="C79" i="11"/>
  <c r="C83" i="11"/>
  <c r="E81" i="11"/>
  <c r="E82" i="11"/>
  <c r="C82" i="11"/>
  <c r="C80" i="11"/>
  <c r="C81" i="11"/>
  <c r="E80" i="11"/>
  <c r="E71" i="11"/>
  <c r="E75" i="11"/>
  <c r="C71" i="11"/>
  <c r="C75" i="11"/>
  <c r="E74" i="11"/>
  <c r="C74" i="11"/>
  <c r="C72" i="11"/>
  <c r="C73" i="11"/>
  <c r="E72" i="11"/>
  <c r="E63" i="11"/>
  <c r="E67" i="11"/>
  <c r="C67" i="11"/>
  <c r="E65" i="11"/>
  <c r="E66" i="11"/>
  <c r="C66" i="11"/>
  <c r="B9" i="11"/>
  <c r="C65" i="11"/>
  <c r="E64" i="11"/>
  <c r="C64" i="11"/>
  <c r="C63" i="11"/>
  <c r="B7" i="11"/>
  <c r="D7" i="11"/>
  <c r="D46" i="11"/>
  <c r="D62" i="11"/>
  <c r="E55" i="11"/>
  <c r="E59" i="11"/>
  <c r="C59" i="11"/>
  <c r="E57" i="11"/>
  <c r="E58" i="11"/>
  <c r="C58" i="11"/>
  <c r="C57" i="11"/>
  <c r="E56" i="11"/>
  <c r="C56" i="11"/>
  <c r="C55" i="11"/>
  <c r="D6" i="11"/>
  <c r="D54" i="11"/>
  <c r="E47" i="11"/>
  <c r="E51" i="11"/>
  <c r="C47" i="11"/>
  <c r="C51" i="11"/>
  <c r="E49" i="11"/>
  <c r="E50" i="11"/>
  <c r="C50" i="11"/>
  <c r="C48" i="11"/>
  <c r="C49" i="11"/>
  <c r="E48" i="11"/>
  <c r="D42" i="11"/>
  <c r="B42" i="11"/>
  <c r="B41" i="11"/>
  <c r="D34" i="11"/>
  <c r="D33" i="11"/>
  <c r="D27" i="11"/>
  <c r="L14" i="11"/>
  <c r="K14" i="11"/>
  <c r="M11" i="11"/>
  <c r="L12" i="11"/>
  <c r="K12" i="11"/>
  <c r="L10" i="11"/>
  <c r="K10" i="11"/>
  <c r="F9" i="11"/>
  <c r="L8" i="11"/>
  <c r="K8" i="11"/>
  <c r="F8" i="11"/>
  <c r="L6" i="11"/>
  <c r="K6" i="11"/>
  <c r="F6" i="11"/>
  <c r="L4" i="11"/>
  <c r="K4" i="11"/>
  <c r="B4" i="11"/>
  <c r="C120" i="10"/>
  <c r="C122" i="10"/>
  <c r="E183" i="10"/>
  <c r="C183" i="10"/>
  <c r="E184" i="10"/>
  <c r="C184" i="10"/>
  <c r="E182" i="10"/>
  <c r="C182" i="10"/>
  <c r="E181" i="10"/>
  <c r="C181" i="10"/>
  <c r="E180" i="10"/>
  <c r="C180" i="10"/>
  <c r="E179" i="10"/>
  <c r="C179" i="10"/>
  <c r="C177" i="10"/>
  <c r="C173" i="10"/>
  <c r="C174" i="10"/>
  <c r="E173" i="10"/>
  <c r="E175" i="10"/>
  <c r="C175" i="10"/>
  <c r="E174" i="10"/>
  <c r="E172" i="10"/>
  <c r="C170" i="10"/>
  <c r="E158" i="10"/>
  <c r="C88" i="10"/>
  <c r="C89" i="10"/>
  <c r="C110" i="10"/>
  <c r="C111" i="10"/>
  <c r="C112" i="10"/>
  <c r="C164" i="10"/>
  <c r="C108" i="10"/>
  <c r="E128" i="10"/>
  <c r="E137" i="10"/>
  <c r="E105" i="10"/>
  <c r="E79" i="10"/>
  <c r="E136" i="10"/>
  <c r="E104" i="10"/>
  <c r="E134" i="10"/>
  <c r="E135" i="10"/>
  <c r="E103" i="10"/>
  <c r="E102" i="10"/>
  <c r="E133" i="10"/>
  <c r="E101" i="10"/>
  <c r="E132" i="10"/>
  <c r="E100" i="10"/>
  <c r="E129" i="10"/>
  <c r="E130" i="10"/>
  <c r="E131" i="10"/>
  <c r="E99" i="10"/>
  <c r="E98" i="10"/>
  <c r="E97" i="10"/>
  <c r="E96" i="10"/>
  <c r="D10" i="10"/>
  <c r="C128" i="10"/>
  <c r="C137" i="10"/>
  <c r="C105" i="10"/>
  <c r="C136" i="10"/>
  <c r="C104" i="10"/>
  <c r="C135" i="10"/>
  <c r="C103" i="10"/>
  <c r="C134" i="10"/>
  <c r="C102" i="10"/>
  <c r="C133" i="10"/>
  <c r="C101" i="10"/>
  <c r="C131" i="10"/>
  <c r="C132" i="10"/>
  <c r="C100" i="10"/>
  <c r="C99" i="10"/>
  <c r="C129" i="10"/>
  <c r="C130" i="10"/>
  <c r="C98" i="10"/>
  <c r="C97" i="10"/>
  <c r="C96" i="10"/>
  <c r="E141" i="10"/>
  <c r="E142" i="10"/>
  <c r="E143" i="10"/>
  <c r="E81" i="10"/>
  <c r="F10" i="10"/>
  <c r="F9" i="10"/>
  <c r="B9" i="10"/>
  <c r="F8" i="10"/>
  <c r="B7" i="10"/>
  <c r="D7" i="10"/>
  <c r="D6" i="10"/>
  <c r="F6" i="10"/>
  <c r="B4" i="10"/>
  <c r="E89" i="10"/>
  <c r="E164" i="10"/>
  <c r="E168" i="10"/>
  <c r="C168" i="10"/>
  <c r="E167" i="10"/>
  <c r="C167" i="10"/>
  <c r="E165" i="10"/>
  <c r="E166" i="10"/>
  <c r="C165" i="10"/>
  <c r="C166" i="10"/>
  <c r="C45" i="10"/>
  <c r="C53" i="10"/>
  <c r="C61" i="10"/>
  <c r="C69" i="10"/>
  <c r="C77" i="10"/>
  <c r="C86" i="10"/>
  <c r="C94" i="10"/>
  <c r="C117" i="10"/>
  <c r="C126" i="10"/>
  <c r="C139" i="10"/>
  <c r="C147" i="10"/>
  <c r="C155" i="10"/>
  <c r="C162" i="10"/>
  <c r="E157" i="10"/>
  <c r="E160" i="10"/>
  <c r="C141" i="10"/>
  <c r="C157" i="10"/>
  <c r="C160" i="10"/>
  <c r="E159" i="10"/>
  <c r="C159" i="10"/>
  <c r="C158" i="10"/>
  <c r="C119" i="10"/>
  <c r="C121" i="10"/>
  <c r="E121" i="10"/>
  <c r="E149" i="10"/>
  <c r="E153" i="10"/>
  <c r="C149" i="10"/>
  <c r="C153" i="10"/>
  <c r="E151" i="10"/>
  <c r="E152" i="10"/>
  <c r="C152" i="10"/>
  <c r="H148" i="10"/>
  <c r="C150" i="10"/>
  <c r="C151" i="10"/>
  <c r="E150" i="10"/>
  <c r="E145" i="10"/>
  <c r="C145" i="10"/>
  <c r="E144" i="10"/>
  <c r="C144" i="10"/>
  <c r="C142" i="10"/>
  <c r="C143" i="10"/>
  <c r="E63" i="10"/>
  <c r="H132" i="10"/>
  <c r="H130" i="10"/>
  <c r="E119" i="10"/>
  <c r="E124" i="10"/>
  <c r="C124" i="10"/>
  <c r="C123" i="10"/>
  <c r="E123" i="10"/>
  <c r="E122" i="10"/>
  <c r="E120" i="10"/>
  <c r="E115" i="10"/>
  <c r="C115" i="10"/>
  <c r="E114" i="10"/>
  <c r="C114" i="10"/>
  <c r="E113" i="10"/>
  <c r="C113" i="10"/>
  <c r="E111" i="10"/>
  <c r="E88" i="10"/>
  <c r="E92" i="10"/>
  <c r="C92" i="10"/>
  <c r="E90" i="10"/>
  <c r="E91" i="10"/>
  <c r="C91" i="10"/>
  <c r="C90" i="10"/>
  <c r="E83" i="10"/>
  <c r="C79" i="10"/>
  <c r="C83" i="10"/>
  <c r="E80" i="10"/>
  <c r="E82" i="10"/>
  <c r="C82" i="10"/>
  <c r="C80" i="10"/>
  <c r="C81" i="10"/>
  <c r="E71" i="10"/>
  <c r="E75" i="10"/>
  <c r="C71" i="10"/>
  <c r="C75" i="10"/>
  <c r="E73" i="10"/>
  <c r="E74" i="10"/>
  <c r="C74" i="10"/>
  <c r="C72" i="10"/>
  <c r="C73" i="10"/>
  <c r="E72" i="10"/>
  <c r="E67" i="10"/>
  <c r="C67" i="10"/>
  <c r="E65" i="10"/>
  <c r="E66" i="10"/>
  <c r="C66" i="10"/>
  <c r="C65" i="10"/>
  <c r="E64" i="10"/>
  <c r="C64" i="10"/>
  <c r="C63" i="10"/>
  <c r="D46" i="10"/>
  <c r="D62" i="10"/>
  <c r="E55" i="10"/>
  <c r="E59" i="10"/>
  <c r="C59" i="10"/>
  <c r="E57" i="10"/>
  <c r="E58" i="10"/>
  <c r="C58" i="10"/>
  <c r="C57" i="10"/>
  <c r="E56" i="10"/>
  <c r="C56" i="10"/>
  <c r="C55" i="10"/>
  <c r="D54" i="10"/>
  <c r="E47" i="10"/>
  <c r="E51" i="10"/>
  <c r="C47" i="10"/>
  <c r="C51" i="10"/>
  <c r="E49" i="10"/>
  <c r="E50" i="10"/>
  <c r="C50" i="10"/>
  <c r="C48" i="10"/>
  <c r="C49" i="10"/>
  <c r="E48" i="10"/>
  <c r="D42" i="10"/>
  <c r="B42" i="10"/>
  <c r="B41" i="10"/>
  <c r="D36" i="10"/>
  <c r="D35" i="10"/>
  <c r="D34" i="10"/>
  <c r="D33" i="10"/>
  <c r="D32" i="10"/>
  <c r="D29" i="10"/>
  <c r="D28" i="10"/>
  <c r="D27" i="10"/>
  <c r="L14" i="10"/>
  <c r="K14" i="10"/>
  <c r="M11" i="10"/>
  <c r="L12" i="10"/>
  <c r="K12" i="10"/>
  <c r="L10" i="10"/>
  <c r="K10" i="10"/>
  <c r="L8" i="10"/>
  <c r="K8" i="10"/>
  <c r="L6" i="10"/>
  <c r="K6" i="10"/>
  <c r="L4" i="10"/>
  <c r="K4" i="10"/>
  <c r="D54" i="4"/>
  <c r="D46" i="4"/>
  <c r="E146" i="4"/>
  <c r="E79" i="4"/>
  <c r="E147" i="4"/>
  <c r="E80" i="4"/>
  <c r="E81" i="4"/>
  <c r="C129" i="4"/>
  <c r="C130" i="4"/>
  <c r="C131" i="4"/>
  <c r="E130" i="4"/>
  <c r="C138" i="4"/>
  <c r="C97" i="4"/>
  <c r="C112" i="4"/>
  <c r="C88" i="4"/>
  <c r="C89" i="4"/>
  <c r="D10" i="4"/>
  <c r="C137" i="4"/>
  <c r="C175" i="4"/>
  <c r="C179" i="4"/>
  <c r="E89" i="4"/>
  <c r="E175" i="4"/>
  <c r="E179" i="4"/>
  <c r="C178" i="4"/>
  <c r="E178" i="4"/>
  <c r="C176" i="4"/>
  <c r="C177" i="4"/>
  <c r="E176" i="4"/>
  <c r="E177" i="4"/>
  <c r="C45" i="4"/>
  <c r="C53" i="4"/>
  <c r="C61" i="4"/>
  <c r="C69" i="4"/>
  <c r="C77" i="4"/>
  <c r="C86" i="4"/>
  <c r="C94" i="4"/>
  <c r="C109" i="4"/>
  <c r="C117" i="4"/>
  <c r="C126" i="4"/>
  <c r="C135" i="4"/>
  <c r="C150" i="4"/>
  <c r="C158" i="4"/>
  <c r="C166" i="4"/>
  <c r="C173" i="4"/>
  <c r="E137" i="4"/>
  <c r="E138" i="4"/>
  <c r="E152" i="4"/>
  <c r="E153" i="4"/>
  <c r="E154" i="4"/>
  <c r="E139" i="4"/>
  <c r="E98" i="4"/>
  <c r="B9" i="4"/>
  <c r="B7" i="4"/>
  <c r="D7" i="4"/>
  <c r="E122" i="4"/>
  <c r="C120" i="4"/>
  <c r="E120" i="4"/>
  <c r="H159" i="4"/>
  <c r="C128" i="4"/>
  <c r="D35" i="4"/>
  <c r="C121" i="4"/>
  <c r="C119" i="4"/>
  <c r="E88" i="4"/>
  <c r="E92" i="4"/>
  <c r="C92" i="4"/>
  <c r="E113" i="4"/>
  <c r="C111" i="4"/>
  <c r="E114" i="4"/>
  <c r="E96" i="4"/>
  <c r="E111" i="4"/>
  <c r="E115" i="4"/>
  <c r="C115" i="4"/>
  <c r="C114" i="4"/>
  <c r="C113" i="4"/>
  <c r="E97" i="4"/>
  <c r="E112" i="4"/>
  <c r="C96" i="4"/>
  <c r="E148" i="4"/>
  <c r="E107" i="4"/>
  <c r="E106" i="4"/>
  <c r="E145" i="4"/>
  <c r="E105" i="4"/>
  <c r="E104" i="4"/>
  <c r="E144" i="4"/>
  <c r="E103" i="4"/>
  <c r="E143" i="4"/>
  <c r="E102" i="4"/>
  <c r="E140" i="4"/>
  <c r="E141" i="4"/>
  <c r="E142" i="4"/>
  <c r="E101" i="4"/>
  <c r="E100" i="4"/>
  <c r="E99" i="4"/>
  <c r="C148" i="4"/>
  <c r="C107" i="4"/>
  <c r="C147" i="4"/>
  <c r="C106" i="4"/>
  <c r="C145" i="4"/>
  <c r="C146" i="4"/>
  <c r="C105" i="4"/>
  <c r="C104" i="4"/>
  <c r="C139" i="4"/>
  <c r="C144" i="4"/>
  <c r="C103" i="4"/>
  <c r="C142" i="4"/>
  <c r="C143" i="4"/>
  <c r="C102" i="4"/>
  <c r="C101" i="4"/>
  <c r="C140" i="4"/>
  <c r="C141" i="4"/>
  <c r="C100" i="4"/>
  <c r="C99" i="4"/>
  <c r="C98" i="4"/>
  <c r="C152" i="4"/>
  <c r="C168" i="4"/>
  <c r="C170" i="4"/>
  <c r="E169" i="4"/>
  <c r="E170" i="4"/>
  <c r="E168" i="4"/>
  <c r="E171" i="4"/>
  <c r="C171" i="4"/>
  <c r="C169" i="4"/>
  <c r="E131" i="4"/>
  <c r="H139" i="4"/>
  <c r="F9" i="4"/>
  <c r="C124" i="4"/>
  <c r="E124" i="4"/>
  <c r="C123" i="4"/>
  <c r="C122" i="4"/>
  <c r="M11" i="4"/>
  <c r="L14" i="4"/>
  <c r="K14" i="4"/>
  <c r="L12" i="4"/>
  <c r="K12" i="4"/>
  <c r="L10" i="4"/>
  <c r="K10" i="4"/>
  <c r="L8" i="4"/>
  <c r="K8" i="4"/>
  <c r="L6" i="4"/>
  <c r="K6" i="4"/>
  <c r="L4" i="4"/>
  <c r="K4" i="4"/>
  <c r="C160" i="4"/>
  <c r="E160" i="4"/>
  <c r="E164" i="4"/>
  <c r="C164" i="4"/>
  <c r="E162" i="4"/>
  <c r="E163" i="4"/>
  <c r="C163" i="4"/>
  <c r="C161" i="4"/>
  <c r="C162" i="4"/>
  <c r="E161" i="4"/>
  <c r="E156" i="4"/>
  <c r="C156" i="4"/>
  <c r="E155" i="4"/>
  <c r="C155" i="4"/>
  <c r="C153" i="4"/>
  <c r="C154" i="4"/>
  <c r="H143" i="4"/>
  <c r="E128" i="4"/>
  <c r="E133" i="4"/>
  <c r="C133" i="4"/>
  <c r="C132" i="4"/>
  <c r="E132" i="4"/>
  <c r="E129" i="4"/>
  <c r="E123" i="4"/>
  <c r="E90" i="4"/>
  <c r="E91" i="4"/>
  <c r="C91" i="4"/>
  <c r="C90" i="4"/>
  <c r="E83" i="4"/>
  <c r="C79" i="4"/>
  <c r="C83" i="4"/>
  <c r="E82" i="4"/>
  <c r="C82" i="4"/>
  <c r="C80" i="4"/>
  <c r="C81" i="4"/>
  <c r="E71" i="4"/>
  <c r="E75" i="4"/>
  <c r="C71" i="4"/>
  <c r="C75" i="4"/>
  <c r="E73" i="4"/>
  <c r="E74" i="4"/>
  <c r="C74" i="4"/>
  <c r="C72" i="4"/>
  <c r="C73" i="4"/>
  <c r="E72" i="4"/>
  <c r="E63" i="4"/>
  <c r="E67" i="4"/>
  <c r="C67" i="4"/>
  <c r="E65" i="4"/>
  <c r="E66" i="4"/>
  <c r="C66" i="4"/>
  <c r="C65" i="4"/>
  <c r="E64" i="4"/>
  <c r="C64" i="4"/>
  <c r="C63" i="4"/>
  <c r="D62" i="4"/>
  <c r="E55" i="4"/>
  <c r="E59" i="4"/>
  <c r="C59" i="4"/>
  <c r="E57" i="4"/>
  <c r="E58" i="4"/>
  <c r="C58" i="4"/>
  <c r="C57" i="4"/>
  <c r="E56" i="4"/>
  <c r="C56" i="4"/>
  <c r="C55" i="4"/>
  <c r="D6" i="4"/>
  <c r="E47" i="4"/>
  <c r="E51" i="4"/>
  <c r="C47" i="4"/>
  <c r="C51" i="4"/>
  <c r="E49" i="4"/>
  <c r="E50" i="4"/>
  <c r="C50" i="4"/>
  <c r="C48" i="4"/>
  <c r="C49" i="4"/>
  <c r="E48" i="4"/>
  <c r="D42" i="4"/>
  <c r="B42" i="4"/>
  <c r="B41" i="4"/>
  <c r="D36" i="4"/>
  <c r="D34" i="4"/>
  <c r="D33" i="4"/>
  <c r="D32" i="4"/>
  <c r="D29" i="4"/>
  <c r="D28" i="4"/>
  <c r="D27" i="4"/>
  <c r="F8" i="4"/>
  <c r="F6" i="4"/>
  <c r="E80" i="7"/>
  <c r="E91" i="7"/>
  <c r="E94" i="7"/>
  <c r="D10" i="7"/>
  <c r="C87" i="7"/>
  <c r="C94" i="7"/>
  <c r="E92" i="7"/>
  <c r="E93" i="7"/>
  <c r="C118" i="7"/>
  <c r="C122" i="7"/>
  <c r="C92" i="7"/>
  <c r="C93" i="7"/>
  <c r="E121" i="7"/>
  <c r="E122" i="7"/>
  <c r="E123" i="7"/>
  <c r="C91" i="7"/>
  <c r="E89" i="7"/>
  <c r="E90" i="7"/>
  <c r="C90" i="7"/>
  <c r="F9" i="7"/>
  <c r="C88" i="7"/>
  <c r="C89" i="7"/>
  <c r="E87" i="7"/>
  <c r="F10" i="7"/>
  <c r="E99" i="7"/>
  <c r="E120" i="7"/>
  <c r="E124" i="7"/>
  <c r="C124" i="7"/>
  <c r="C123" i="7"/>
  <c r="C119" i="7"/>
  <c r="C120" i="7"/>
  <c r="C121" i="7"/>
  <c r="E118" i="7"/>
  <c r="H136" i="7"/>
  <c r="C109" i="7"/>
  <c r="C110" i="7"/>
  <c r="D27" i="7"/>
  <c r="E119" i="7"/>
  <c r="E129" i="7"/>
  <c r="C129" i="7"/>
  <c r="C111" i="7"/>
  <c r="C112" i="7"/>
  <c r="C137" i="7"/>
  <c r="C145" i="7"/>
  <c r="C153" i="7"/>
  <c r="C161" i="7"/>
  <c r="C169" i="7"/>
  <c r="C173" i="7"/>
  <c r="C172" i="7"/>
  <c r="C170" i="7"/>
  <c r="C171" i="7"/>
  <c r="C165" i="7"/>
  <c r="C164" i="7"/>
  <c r="C162" i="7"/>
  <c r="C163" i="7"/>
  <c r="C157" i="7"/>
  <c r="C156" i="7"/>
  <c r="C154" i="7"/>
  <c r="C155" i="7"/>
  <c r="C146" i="7"/>
  <c r="C138" i="7"/>
  <c r="E111" i="7"/>
  <c r="E169" i="7"/>
  <c r="E173" i="7"/>
  <c r="E130" i="7"/>
  <c r="E131" i="7"/>
  <c r="E171" i="7"/>
  <c r="E172" i="7"/>
  <c r="E170" i="7"/>
  <c r="C44" i="7"/>
  <c r="C52" i="7"/>
  <c r="C60" i="7"/>
  <c r="C68" i="7"/>
  <c r="C76" i="7"/>
  <c r="C85" i="7"/>
  <c r="C97" i="7"/>
  <c r="C107" i="7"/>
  <c r="C116" i="7"/>
  <c r="C127" i="7"/>
  <c r="C135" i="7"/>
  <c r="C143" i="7"/>
  <c r="C151" i="7"/>
  <c r="C159" i="7"/>
  <c r="C167" i="7"/>
  <c r="E161" i="7"/>
  <c r="E165" i="7"/>
  <c r="E163" i="7"/>
  <c r="E164" i="7"/>
  <c r="E162" i="7"/>
  <c r="E153" i="7"/>
  <c r="E157" i="7"/>
  <c r="E155" i="7"/>
  <c r="E156" i="7"/>
  <c r="E154" i="7"/>
  <c r="E145" i="7"/>
  <c r="E149" i="7"/>
  <c r="C149" i="7"/>
  <c r="E147" i="7"/>
  <c r="E148" i="7"/>
  <c r="C148" i="7"/>
  <c r="C147" i="7"/>
  <c r="E146" i="7"/>
  <c r="E137" i="7"/>
  <c r="E139" i="7"/>
  <c r="C141" i="7"/>
  <c r="E141" i="7"/>
  <c r="E138" i="7"/>
  <c r="E140" i="7"/>
  <c r="C140" i="7"/>
  <c r="C139" i="7"/>
  <c r="C130" i="7"/>
  <c r="E94" i="8"/>
  <c r="E97" i="8"/>
  <c r="C53" i="8"/>
  <c r="C94" i="8"/>
  <c r="C97" i="8"/>
  <c r="E52" i="8"/>
  <c r="E53" i="8"/>
  <c r="E54" i="8"/>
  <c r="E95" i="8"/>
  <c r="E96" i="8"/>
  <c r="C96" i="8"/>
  <c r="E90" i="8"/>
  <c r="C60" i="8"/>
  <c r="C61" i="8"/>
  <c r="C62" i="8"/>
  <c r="C63" i="8"/>
  <c r="C64" i="8"/>
  <c r="C86" i="8"/>
  <c r="C85" i="8"/>
  <c r="C84" i="8"/>
  <c r="C90" i="8"/>
  <c r="E89" i="8"/>
  <c r="C89" i="8"/>
  <c r="E88" i="8"/>
  <c r="C87" i="8"/>
  <c r="E87" i="8"/>
  <c r="E76" i="8"/>
  <c r="E85" i="8"/>
  <c r="E86" i="8"/>
  <c r="E80" i="8"/>
  <c r="C76" i="8"/>
  <c r="C80" i="8"/>
  <c r="E77" i="8"/>
  <c r="E78" i="8"/>
  <c r="E79" i="8"/>
  <c r="C79" i="8"/>
  <c r="C77" i="8"/>
  <c r="C78" i="8"/>
  <c r="E72" i="8"/>
  <c r="C52" i="8"/>
  <c r="C68" i="8"/>
  <c r="C72" i="8"/>
  <c r="E71" i="8"/>
  <c r="C70" i="8"/>
  <c r="C71" i="8"/>
  <c r="E69" i="8"/>
  <c r="E70" i="8"/>
  <c r="C69" i="8"/>
  <c r="E64" i="8"/>
  <c r="E62" i="8"/>
  <c r="H63" i="8"/>
  <c r="E63" i="8"/>
  <c r="E61" i="8"/>
  <c r="E56" i="8"/>
  <c r="C56" i="8"/>
  <c r="E55" i="8"/>
  <c r="C55" i="8"/>
  <c r="C54" i="8"/>
  <c r="E44" i="8"/>
  <c r="E48" i="8"/>
  <c r="C44" i="8"/>
  <c r="C48" i="8"/>
  <c r="E46" i="8"/>
  <c r="E47" i="8"/>
  <c r="C47" i="8"/>
  <c r="C45" i="8"/>
  <c r="C46" i="8"/>
  <c r="E45" i="8"/>
  <c r="B5" i="8"/>
  <c r="D43" i="8"/>
  <c r="D33" i="8"/>
  <c r="D32" i="8"/>
  <c r="D31" i="8"/>
  <c r="D30" i="8"/>
  <c r="D29" i="8"/>
  <c r="D26" i="8"/>
  <c r="D25" i="8"/>
  <c r="D24" i="8"/>
  <c r="F6" i="8"/>
  <c r="B4" i="8"/>
  <c r="D10" i="6"/>
  <c r="C71" i="6"/>
  <c r="C113" i="7"/>
  <c r="E113" i="7"/>
  <c r="E133" i="7"/>
  <c r="C133" i="7"/>
  <c r="E132" i="7"/>
  <c r="C132" i="7"/>
  <c r="C131" i="7"/>
  <c r="H120" i="7"/>
  <c r="H121" i="7"/>
  <c r="E125" i="7"/>
  <c r="C125" i="7"/>
  <c r="E109" i="7"/>
  <c r="E114" i="7"/>
  <c r="C114" i="7"/>
  <c r="E88" i="5"/>
  <c r="E112" i="7"/>
  <c r="E110" i="7"/>
  <c r="C99" i="7"/>
  <c r="C105" i="7"/>
  <c r="C104" i="7"/>
  <c r="C102" i="7"/>
  <c r="C103" i="7"/>
  <c r="C100" i="7"/>
  <c r="E105" i="7"/>
  <c r="E104" i="7"/>
  <c r="E103" i="7"/>
  <c r="E102" i="7"/>
  <c r="E101" i="7"/>
  <c r="C101" i="7"/>
  <c r="E100" i="7"/>
  <c r="E95" i="7"/>
  <c r="C95" i="7"/>
  <c r="E88" i="7"/>
  <c r="E78" i="7"/>
  <c r="E82" i="7"/>
  <c r="C78" i="7"/>
  <c r="C82" i="7"/>
  <c r="E81" i="7"/>
  <c r="C81" i="7"/>
  <c r="C79" i="7"/>
  <c r="C80" i="7"/>
  <c r="E79" i="7"/>
  <c r="E70" i="7"/>
  <c r="E74" i="7"/>
  <c r="C70" i="7"/>
  <c r="C74" i="7"/>
  <c r="E72" i="7"/>
  <c r="E73" i="7"/>
  <c r="C73" i="7"/>
  <c r="C71" i="7"/>
  <c r="C72" i="7"/>
  <c r="E71" i="7"/>
  <c r="E62" i="7"/>
  <c r="E66" i="7"/>
  <c r="C66" i="7"/>
  <c r="E64" i="7"/>
  <c r="E65" i="7"/>
  <c r="C65" i="7"/>
  <c r="B9" i="7"/>
  <c r="C64" i="7"/>
  <c r="E63" i="7"/>
  <c r="C63" i="7"/>
  <c r="C62" i="7"/>
  <c r="B7" i="7"/>
  <c r="D7" i="7"/>
  <c r="D45" i="7"/>
  <c r="D61" i="7"/>
  <c r="E54" i="7"/>
  <c r="E58" i="7"/>
  <c r="C58" i="7"/>
  <c r="E56" i="7"/>
  <c r="E57" i="7"/>
  <c r="C57" i="7"/>
  <c r="C56" i="7"/>
  <c r="E55" i="7"/>
  <c r="C55" i="7"/>
  <c r="C54" i="7"/>
  <c r="D6" i="7"/>
  <c r="D53" i="7"/>
  <c r="E46" i="7"/>
  <c r="E50" i="7"/>
  <c r="C46" i="7"/>
  <c r="C50" i="7"/>
  <c r="E48" i="7"/>
  <c r="E49" i="7"/>
  <c r="C49" i="7"/>
  <c r="C47" i="7"/>
  <c r="C48" i="7"/>
  <c r="E47" i="7"/>
  <c r="D41" i="7"/>
  <c r="B41" i="7"/>
  <c r="B40" i="7"/>
  <c r="D35" i="7"/>
  <c r="D34" i="7"/>
  <c r="D33" i="7"/>
  <c r="D32" i="7"/>
  <c r="D29" i="7"/>
  <c r="D28" i="7"/>
  <c r="F8" i="7"/>
  <c r="F6" i="7"/>
  <c r="B4" i="7"/>
  <c r="B41" i="6"/>
  <c r="B42" i="6"/>
  <c r="D42" i="6"/>
  <c r="C45" i="6"/>
  <c r="C53" i="6"/>
  <c r="C61" i="6"/>
  <c r="C69" i="6"/>
  <c r="C77" i="6"/>
  <c r="C85" i="6"/>
  <c r="C93" i="6"/>
  <c r="C101" i="6"/>
  <c r="C111" i="6"/>
  <c r="E63" i="6"/>
  <c r="E67" i="6"/>
  <c r="E65" i="6"/>
  <c r="E66" i="6"/>
  <c r="E64" i="6"/>
  <c r="E55" i="6"/>
  <c r="E59" i="6"/>
  <c r="E57" i="6"/>
  <c r="E58" i="6"/>
  <c r="E56" i="6"/>
  <c r="E47" i="6"/>
  <c r="E51" i="6"/>
  <c r="E49" i="6"/>
  <c r="E50" i="6"/>
  <c r="E48" i="6"/>
  <c r="C118" i="6"/>
  <c r="F9" i="6"/>
  <c r="C117" i="6"/>
  <c r="C116" i="6"/>
  <c r="C114" i="6"/>
  <c r="C113" i="6"/>
  <c r="F10" i="6"/>
  <c r="E113" i="6"/>
  <c r="E119" i="6"/>
  <c r="C119" i="6"/>
  <c r="E118" i="6"/>
  <c r="E117" i="6"/>
  <c r="E116" i="6"/>
  <c r="E115" i="6"/>
  <c r="C115" i="6"/>
  <c r="E114" i="6"/>
  <c r="C103" i="6"/>
  <c r="C109" i="6"/>
  <c r="E103" i="6"/>
  <c r="E109" i="6"/>
  <c r="C108" i="6"/>
  <c r="E108" i="6"/>
  <c r="E107" i="6"/>
  <c r="C107" i="6"/>
  <c r="E106" i="6"/>
  <c r="C106" i="6"/>
  <c r="C104" i="6"/>
  <c r="C105" i="6"/>
  <c r="E105" i="6"/>
  <c r="E104" i="6"/>
  <c r="C97" i="6"/>
  <c r="C95" i="6"/>
  <c r="E95" i="6"/>
  <c r="E99" i="6"/>
  <c r="C99" i="6"/>
  <c r="E98" i="6"/>
  <c r="C98" i="6"/>
  <c r="E96" i="6"/>
  <c r="E97" i="6"/>
  <c r="C96" i="6"/>
  <c r="E88" i="6"/>
  <c r="E87" i="6"/>
  <c r="C89" i="6"/>
  <c r="C87" i="6"/>
  <c r="C79" i="6"/>
  <c r="C83" i="6"/>
  <c r="C82" i="6"/>
  <c r="C80" i="6"/>
  <c r="C81" i="6"/>
  <c r="C72" i="6"/>
  <c r="E79" i="6"/>
  <c r="E81" i="6"/>
  <c r="E73" i="6"/>
  <c r="E71" i="6"/>
  <c r="B9" i="6"/>
  <c r="B7" i="6"/>
  <c r="D7" i="6"/>
  <c r="D46" i="6"/>
  <c r="D6" i="6"/>
  <c r="D54" i="6"/>
  <c r="F6" i="6"/>
  <c r="C59" i="6"/>
  <c r="C58" i="6"/>
  <c r="C57" i="6"/>
  <c r="C56" i="6"/>
  <c r="C55" i="6"/>
  <c r="C67" i="6"/>
  <c r="C66" i="6"/>
  <c r="C65" i="6"/>
  <c r="C64" i="6"/>
  <c r="C63" i="6"/>
  <c r="D62" i="6"/>
  <c r="C48" i="6"/>
  <c r="C47" i="6"/>
  <c r="E72" i="6"/>
  <c r="E91" i="6"/>
  <c r="C91" i="6"/>
  <c r="E90" i="6"/>
  <c r="C90" i="6"/>
  <c r="E89" i="6"/>
  <c r="C88" i="6"/>
  <c r="E83" i="6"/>
  <c r="E82" i="6"/>
  <c r="E80" i="6"/>
  <c r="E75" i="6"/>
  <c r="C75" i="6"/>
  <c r="E74" i="6"/>
  <c r="C74" i="6"/>
  <c r="C73" i="6"/>
  <c r="C51" i="6"/>
  <c r="C50" i="6"/>
  <c r="C49" i="6"/>
  <c r="D36" i="6"/>
  <c r="D35" i="6"/>
  <c r="D34" i="6"/>
  <c r="D33" i="6"/>
  <c r="D32" i="6"/>
  <c r="D29" i="6"/>
  <c r="D28" i="6"/>
  <c r="F8" i="6"/>
  <c r="B4" i="6"/>
  <c r="E94" i="5"/>
  <c r="E97" i="5"/>
  <c r="C53" i="5"/>
  <c r="C94" i="5"/>
  <c r="C97" i="5"/>
  <c r="E52" i="5"/>
  <c r="E53" i="5"/>
  <c r="E54" i="5"/>
  <c r="E95" i="5"/>
  <c r="E96" i="5"/>
  <c r="C96" i="5"/>
  <c r="E90" i="5"/>
  <c r="C60" i="5"/>
  <c r="C61" i="5"/>
  <c r="C62" i="5"/>
  <c r="C63" i="5"/>
  <c r="C64" i="5"/>
  <c r="C86" i="5"/>
  <c r="C85" i="5"/>
  <c r="C84" i="5"/>
  <c r="C90" i="5"/>
  <c r="E89" i="5"/>
  <c r="C89" i="5"/>
  <c r="C87" i="5"/>
  <c r="E87" i="5"/>
  <c r="E76" i="5"/>
  <c r="E85" i="5"/>
  <c r="E86" i="5"/>
  <c r="E80" i="5"/>
  <c r="C76" i="5"/>
  <c r="C80" i="5"/>
  <c r="E77" i="5"/>
  <c r="E78" i="5"/>
  <c r="E79" i="5"/>
  <c r="C79" i="5"/>
  <c r="C77" i="5"/>
  <c r="C78" i="5"/>
  <c r="E72" i="5"/>
  <c r="C52" i="5"/>
  <c r="C68" i="5"/>
  <c r="C72" i="5"/>
  <c r="E71" i="5"/>
  <c r="C70" i="5"/>
  <c r="C71" i="5"/>
  <c r="E69" i="5"/>
  <c r="E70" i="5"/>
  <c r="C69" i="5"/>
  <c r="E64" i="5"/>
  <c r="E62" i="5"/>
  <c r="H63" i="5"/>
  <c r="E63" i="5"/>
  <c r="E61" i="5"/>
  <c r="E56" i="5"/>
  <c r="C56" i="5"/>
  <c r="E55" i="5"/>
  <c r="C55" i="5"/>
  <c r="C54" i="5"/>
  <c r="E44" i="5"/>
  <c r="E48" i="5"/>
  <c r="C44" i="5"/>
  <c r="C48" i="5"/>
  <c r="E46" i="5"/>
  <c r="E47" i="5"/>
  <c r="C47" i="5"/>
  <c r="C45" i="5"/>
  <c r="C46" i="5"/>
  <c r="E45" i="5"/>
  <c r="B5" i="5"/>
  <c r="D43" i="5"/>
  <c r="D33" i="5"/>
  <c r="D32" i="5"/>
  <c r="D31" i="5"/>
  <c r="D30" i="5"/>
  <c r="D29" i="5"/>
  <c r="D26" i="5"/>
  <c r="D25" i="5"/>
  <c r="D24" i="5"/>
  <c r="F6" i="5"/>
  <c r="B4" i="5"/>
  <c r="D166" i="3"/>
  <c r="D165" i="3"/>
  <c r="D162" i="3"/>
  <c r="B166" i="3"/>
  <c r="D33" i="2"/>
  <c r="D32" i="2"/>
  <c r="I4" i="2"/>
  <c r="B6" i="2"/>
  <c r="C69" i="2"/>
  <c r="C68" i="2"/>
  <c r="E44" i="2"/>
  <c r="E78" i="2"/>
  <c r="C86" i="2"/>
  <c r="E68" i="2"/>
  <c r="E85" i="2"/>
  <c r="E45" i="2"/>
  <c r="E46" i="2"/>
  <c r="E47" i="2"/>
  <c r="D31" i="2"/>
  <c r="D30" i="2"/>
  <c r="D29" i="2"/>
  <c r="D26" i="2"/>
  <c r="D25" i="2"/>
  <c r="D24" i="2"/>
  <c r="C53" i="1"/>
  <c r="C60" i="1"/>
  <c r="C61" i="1"/>
  <c r="C62" i="1"/>
  <c r="E62" i="1"/>
  <c r="H63" i="1"/>
  <c r="C70" i="1"/>
  <c r="E52" i="1"/>
  <c r="E69" i="1"/>
  <c r="D33" i="1"/>
  <c r="D32" i="1"/>
  <c r="D31" i="1"/>
  <c r="D30" i="1"/>
  <c r="D29" i="1"/>
  <c r="D26" i="1"/>
  <c r="D25" i="1"/>
  <c r="D24" i="1"/>
  <c r="C52" i="1"/>
  <c r="D59" i="2"/>
  <c r="E70" i="2"/>
  <c r="C44" i="2"/>
  <c r="C45" i="2"/>
  <c r="C53" i="2"/>
  <c r="C52" i="2"/>
  <c r="C56" i="2"/>
  <c r="D51" i="2"/>
  <c r="E54" i="2"/>
  <c r="E55" i="2"/>
  <c r="E52" i="2"/>
  <c r="E62" i="2"/>
  <c r="E60" i="2"/>
  <c r="C60" i="2"/>
  <c r="E48" i="2"/>
  <c r="K4" i="2"/>
  <c r="D43" i="2"/>
  <c r="J4" i="2"/>
  <c r="L4" i="2"/>
  <c r="C54" i="2"/>
  <c r="E56" i="2"/>
  <c r="C48" i="2"/>
  <c r="D110" i="3"/>
  <c r="D108" i="3"/>
  <c r="D109" i="3"/>
  <c r="D107" i="3"/>
  <c r="B106" i="3"/>
  <c r="D103" i="3"/>
  <c r="D101" i="3"/>
  <c r="D102" i="3"/>
  <c r="D100" i="3"/>
  <c r="B99" i="3"/>
  <c r="D96" i="3"/>
  <c r="D94" i="3"/>
  <c r="D95" i="3"/>
  <c r="D93" i="3"/>
  <c r="B92" i="3"/>
  <c r="D89" i="3"/>
  <c r="D87" i="3"/>
  <c r="D88" i="3"/>
  <c r="D86" i="3"/>
  <c r="B85" i="3"/>
  <c r="D82" i="3"/>
  <c r="D80" i="3"/>
  <c r="D81" i="3"/>
  <c r="D79" i="3"/>
  <c r="B78" i="3"/>
  <c r="D75" i="3"/>
  <c r="D73" i="3"/>
  <c r="D74" i="3"/>
  <c r="D72" i="3"/>
  <c r="B71" i="3"/>
  <c r="D68" i="3"/>
  <c r="D66" i="3"/>
  <c r="D67" i="3"/>
  <c r="D65" i="3"/>
  <c r="B64" i="3"/>
  <c r="D61" i="3"/>
  <c r="B61" i="3"/>
  <c r="B110" i="3"/>
  <c r="B60" i="3"/>
  <c r="B109" i="3"/>
  <c r="D59" i="3"/>
  <c r="D60" i="3"/>
  <c r="B59" i="3"/>
  <c r="B108" i="3"/>
  <c r="D58" i="3"/>
  <c r="B58" i="3"/>
  <c r="B107" i="3"/>
  <c r="B53" i="3"/>
  <c r="B52" i="3"/>
  <c r="B51" i="3"/>
  <c r="B50" i="3"/>
  <c r="B49" i="3"/>
  <c r="B75" i="3"/>
  <c r="B89" i="3"/>
  <c r="B103" i="3"/>
  <c r="B72" i="3"/>
  <c r="B73" i="3"/>
  <c r="B74" i="3"/>
  <c r="B86" i="3"/>
  <c r="B87" i="3"/>
  <c r="B88" i="3"/>
  <c r="B100" i="3"/>
  <c r="B101" i="3"/>
  <c r="B102" i="3"/>
  <c r="C61" i="2"/>
  <c r="C46" i="2"/>
  <c r="E53" i="2"/>
  <c r="C55" i="2"/>
  <c r="C47" i="2"/>
  <c r="B65" i="3"/>
  <c r="B66" i="3"/>
  <c r="B67" i="3"/>
  <c r="B68" i="3"/>
  <c r="B79" i="3"/>
  <c r="B80" i="3"/>
  <c r="B81" i="3"/>
  <c r="B82" i="3"/>
  <c r="B93" i="3"/>
  <c r="B94" i="3"/>
  <c r="B95" i="3"/>
  <c r="B96" i="3"/>
  <c r="E111" i="2"/>
  <c r="E112" i="2"/>
  <c r="E106" i="2"/>
  <c r="E105" i="2"/>
  <c r="E88" i="2"/>
  <c r="E87" i="2"/>
  <c r="C87" i="2"/>
  <c r="E86" i="2"/>
  <c r="E71" i="2"/>
  <c r="C110" i="2"/>
  <c r="C111" i="2"/>
  <c r="E69" i="2"/>
  <c r="C72" i="2"/>
  <c r="C62" i="2"/>
  <c r="E64" i="2"/>
  <c r="C64" i="2"/>
  <c r="F6" i="2"/>
  <c r="B5" i="2"/>
  <c r="B4" i="2"/>
  <c r="C94" i="1"/>
  <c r="C96" i="1"/>
  <c r="C97" i="1"/>
  <c r="E94" i="1"/>
  <c r="E97" i="1"/>
  <c r="E76" i="1"/>
  <c r="E88" i="1"/>
  <c r="E79" i="2"/>
  <c r="E72" i="2"/>
  <c r="C113" i="2"/>
  <c r="C112" i="2"/>
  <c r="C63" i="2"/>
  <c r="C70" i="2"/>
  <c r="C84" i="2"/>
  <c r="E61" i="2"/>
  <c r="E63" i="2"/>
  <c r="C71" i="2"/>
  <c r="C76" i="2"/>
  <c r="C77" i="2"/>
  <c r="C104" i="2"/>
  <c r="C68" i="1"/>
  <c r="E104" i="2"/>
  <c r="C105" i="2"/>
  <c r="C80" i="2"/>
  <c r="C79" i="2"/>
  <c r="C88" i="2"/>
  <c r="C85" i="2"/>
  <c r="C56" i="1"/>
  <c r="C89" i="1"/>
  <c r="F6" i="1"/>
  <c r="E89" i="1"/>
  <c r="E90" i="1"/>
  <c r="E70" i="1"/>
  <c r="C71" i="1"/>
  <c r="E72" i="1"/>
  <c r="E71" i="1"/>
  <c r="E44" i="1"/>
  <c r="E48" i="1"/>
  <c r="E46" i="1"/>
  <c r="E63" i="1"/>
  <c r="E45" i="1"/>
  <c r="C44" i="1"/>
  <c r="C48" i="1"/>
  <c r="C45" i="1"/>
  <c r="C46" i="1"/>
  <c r="B5" i="1"/>
  <c r="D43" i="1"/>
  <c r="B4" i="1"/>
  <c r="C47" i="1"/>
  <c r="C92" i="2"/>
  <c r="C78" i="2"/>
  <c r="H78" i="2"/>
  <c r="E47" i="1"/>
  <c r="C64" i="1"/>
  <c r="C63" i="1"/>
  <c r="C55" i="1"/>
  <c r="E53" i="1"/>
  <c r="E54" i="1"/>
  <c r="E56" i="1"/>
  <c r="C54" i="1"/>
  <c r="C93" i="2"/>
  <c r="C102" i="2"/>
  <c r="E55" i="1"/>
  <c r="E95" i="1"/>
  <c r="E96" i="1"/>
  <c r="C96" i="2"/>
  <c r="C95" i="2"/>
  <c r="C76" i="1"/>
  <c r="C86" i="1"/>
  <c r="E85" i="1"/>
  <c r="E86" i="1"/>
  <c r="E80" i="1"/>
  <c r="E77" i="1"/>
  <c r="E78" i="1"/>
  <c r="E61" i="1"/>
  <c r="E64" i="1"/>
  <c r="C69" i="1"/>
  <c r="C72" i="1"/>
  <c r="C101" i="2"/>
  <c r="C106" i="2"/>
  <c r="E76" i="2"/>
  <c r="C100" i="2"/>
  <c r="C85" i="1"/>
  <c r="C84" i="1"/>
  <c r="C77" i="1"/>
  <c r="C94" i="2"/>
  <c r="E79" i="1"/>
  <c r="C79" i="1"/>
  <c r="C80" i="1"/>
  <c r="C78" i="1"/>
  <c r="C90" i="1"/>
  <c r="C103" i="2"/>
  <c r="E103" i="2"/>
  <c r="E110" i="2"/>
  <c r="E113" i="2"/>
  <c r="E80" i="2"/>
  <c r="E92" i="2"/>
  <c r="E101" i="2"/>
  <c r="E77" i="2"/>
  <c r="C87" i="1"/>
  <c r="E87" i="1"/>
  <c r="E96" i="2"/>
  <c r="E93" i="2"/>
  <c r="E94" i="2"/>
  <c r="E102" i="2"/>
  <c r="E95" i="2"/>
</calcChain>
</file>

<file path=xl/connections.xml><?xml version="1.0" encoding="utf-8"?>
<connections xmlns="http://schemas.openxmlformats.org/spreadsheetml/2006/main">
  <connection id="1" name="cleov5wedge15.txt" type="6" refreshedVersion="0" background="1" saveData="1">
    <textPr fileType="mac" sourceFile="Macintosh HD:Users:reimer:Documents:JLab:12_GeV:SoLID:poisson:cleov5wedge1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leov5wedge35.txt" type="6" refreshedVersion="0" background="1" saveData="1">
    <textPr fileType="mac" sourceFile="Macintosh HD:Users:reimer:Documents:JLab:12_GeV:SoLID:poisson:cleov5wedge3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leov5wedge65.txt" type="6" refreshedVersion="0" background="1" saveData="1">
    <textPr fileType="mac" sourceFile="Macintosh HD:Users:reimer:Documents:JLab:12_GeV:SoLID:poisson:cleov5wedge65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<sst xmlns="http://schemas.openxmlformats.org/spreadsheetml/2006/main" count="4430" uniqueCount="210">
  <si>
    <t>&amp;po</t>
  </si>
  <si>
    <t>, x=</t>
  </si>
  <si>
    <t>&amp;</t>
  </si>
  <si>
    <t>coil half length</t>
  </si>
  <si>
    <t xml:space="preserve">&amp;reg </t>
  </si>
  <si>
    <t>mat=1</t>
  </si>
  <si>
    <t>, cur=</t>
  </si>
  <si>
    <t>Coil Current</t>
  </si>
  <si>
    <t>coil radius (ave)</t>
  </si>
  <si>
    <t>coil field</t>
  </si>
  <si>
    <t>Coil turns</t>
  </si>
  <si>
    <t>coil inner radius</t>
  </si>
  <si>
    <t>coil outer radius</t>
  </si>
  <si>
    <t>y=</t>
  </si>
  <si>
    <t>! Complete coil</t>
  </si>
  <si>
    <t>! Upper return yoke</t>
  </si>
  <si>
    <t>&amp;reg</t>
  </si>
  <si>
    <t>mat=2</t>
  </si>
  <si>
    <t>; Define X (physical) and K (logical) line regions:</t>
  </si>
  <si>
    <t>xreg1=</t>
  </si>
  <si>
    <t>, kreg1=</t>
  </si>
  <si>
    <t>xreg2=</t>
  </si>
  <si>
    <t>, kreg2=</t>
  </si>
  <si>
    <t>xreg3=</t>
  </si>
  <si>
    <t>, kreg3=</t>
  </si>
  <si>
    <t>kmax=</t>
  </si>
  <si>
    <t>; Define Y (physical) and L (logical) line regions:</t>
  </si>
  <si>
    <t>yreg1=</t>
  </si>
  <si>
    <t>yreg3=</t>
  </si>
  <si>
    <t>yreg4=</t>
  </si>
  <si>
    <t>, lreg1=</t>
  </si>
  <si>
    <t>, lreg2=</t>
  </si>
  <si>
    <t>, lreg3=</t>
  </si>
  <si>
    <t>, lreg4=</t>
  </si>
  <si>
    <t>endcap max angle</t>
  </si>
  <si>
    <t>endcap min angle</t>
  </si>
  <si>
    <t>! Down stream upper yoke</t>
  </si>
  <si>
    <t>!upstream yoke</t>
  </si>
  <si>
    <t>!downstream magnet yoke</t>
  </si>
  <si>
    <t>! Downstream front bar</t>
  </si>
  <si>
    <t>! Mesh size intervals</t>
  </si>
  <si>
    <t>! Dirichlet boundary condition on lower edge</t>
  </si>
  <si>
    <t>! Dirichlet boundary condition on upper edge</t>
  </si>
  <si>
    <t>! Dirichlet boundary condition on left edge</t>
  </si>
  <si>
    <t>! Dirichlet boundary condition on right edge</t>
  </si>
  <si>
    <t>mode=</t>
  </si>
  <si>
    <t>,</t>
  </si>
  <si>
    <t>dx=</t>
  </si>
  <si>
    <t>dy=</t>
  </si>
  <si>
    <t>icylin=</t>
  </si>
  <si>
    <t>nbslo=</t>
  </si>
  <si>
    <t>nbsup=</t>
  </si>
  <si>
    <t>nbslf=</t>
  </si>
  <si>
    <t>nbsrt=</t>
  </si>
  <si>
    <t>CDF Magnet</t>
  </si>
  <si>
    <t>&amp;reg kprob=</t>
  </si>
  <si>
    <t xml:space="preserve">,           </t>
  </si>
  <si>
    <t>; Declares a POISSON problem</t>
  </si>
  <si>
    <t>;mode=</t>
  </si>
  <si>
    <t>; Use fixed gamma for material 2</t>
  </si>
  <si>
    <t>; Use variable gamma for material 2</t>
  </si>
  <si>
    <t xml:space="preserve">,               </t>
  </si>
  <si>
    <t>; Cylindrical symmetry</t>
  </si>
  <si>
    <t>rhogam=</t>
  </si>
  <si>
    <t>yreg2 =</t>
  </si>
  <si>
    <t>yreg5=</t>
  </si>
  <si>
    <t>, lreg5=</t>
  </si>
  <si>
    <t>lmax=</t>
  </si>
  <si>
    <t>&amp;po y=</t>
  </si>
  <si>
    <t>,x=</t>
  </si>
  <si>
    <t xml:space="preserve">&amp;         </t>
  </si>
  <si>
    <t>; Start of the air-region points</t>
  </si>
  <si>
    <t>target offset from center</t>
  </si>
  <si>
    <t>! Extra top triangle</t>
  </si>
  <si>
    <t xml:space="preserve">BaBar Magnet for PVDIS &amp; transversity, attempts to compensate the axial force </t>
  </si>
  <si>
    <t>, dy=</t>
  </si>
  <si>
    <t xml:space="preserve">,          </t>
  </si>
  <si>
    <t>; Mesh interval 0.3 originally</t>
  </si>
  <si>
    <t xml:space="preserve">,                </t>
  </si>
  <si>
    <t>; Dirichlet boundary condition on upper edge</t>
  </si>
  <si>
    <t>; Dirichlet boundary condition on left edge</t>
  </si>
  <si>
    <t>; Dirichlet boundary condition on right edge</t>
  </si>
  <si>
    <t>; Dirichlet boundary condition on bottom</t>
  </si>
  <si>
    <t>; Cryostat IR=</t>
  </si>
  <si>
    <t>cm</t>
  </si>
  <si>
    <t>, OR=</t>
  </si>
  <si>
    <t>, length=</t>
  </si>
  <si>
    <t>; Coil     R_wind_centr=</t>
  </si>
  <si>
    <t>,length=</t>
  </si>
  <si>
    <t>cm cold</t>
  </si>
  <si>
    <t>&amp;reg mat=</t>
  </si>
  <si>
    <t>,cur=</t>
  </si>
  <si>
    <t xml:space="preserve">&amp; </t>
  </si>
  <si>
    <t>; Start of the coil region - center</t>
  </si>
  <si>
    <t>; Start of the coil region - side</t>
  </si>
  <si>
    <t>; Cylindified BaBar barrel</t>
  </si>
  <si>
    <t xml:space="preserve">&amp;            </t>
  </si>
  <si>
    <t xml:space="preserve">; </t>
  </si>
  <si>
    <t>cm  thick - 3 plates combined</t>
  </si>
  <si>
    <t>cm  thick - 2 plates combined</t>
  </si>
  <si>
    <t>; Downstream - additional endcap ring</t>
  </si>
  <si>
    <t>; Downstream - pipe</t>
  </si>
  <si>
    <t>; Downstream endcap</t>
  </si>
  <si>
    <t>; Upstream - additional endcap ring</t>
  </si>
  <si>
    <t>; Upstream endcap</t>
  </si>
  <si>
    <t>; Upstream transversity shield</t>
  </si>
  <si>
    <t>! Downstream coil</t>
  </si>
  <si>
    <t>Coil length</t>
  </si>
  <si>
    <t>upstream</t>
  </si>
  <si>
    <t>central</t>
  </si>
  <si>
    <t>downstream</t>
  </si>
  <si>
    <t>Current density</t>
  </si>
  <si>
    <t>kA/cm</t>
  </si>
  <si>
    <t>ZEUS Magnet</t>
  </si>
  <si>
    <t>delta</t>
  </si>
  <si>
    <t>!upstream coill</t>
  </si>
  <si>
    <t>!Central coil</t>
  </si>
  <si>
    <t>!</t>
  </si>
  <si>
    <t>;</t>
  </si>
  <si>
    <t>; percentage</t>
  </si>
  <si>
    <t>;offeset from coil</t>
  </si>
  <si>
    <t>; 4 cm thickness is a dumb guess</t>
  </si>
  <si>
    <t>; offset</t>
  </si>
  <si>
    <t>; z offset</t>
  </si>
  <si>
    <t>CLEO Magnet</t>
  </si>
  <si>
    <t>! Upstream coil</t>
  </si>
  <si>
    <t>! Central coil</t>
  </si>
  <si>
    <t>central turns</t>
  </si>
  <si>
    <t>End Turn</t>
  </si>
  <si>
    <t>total turns</t>
  </si>
  <si>
    <t>End Turn Spacing Default</t>
  </si>
  <si>
    <t>Central Turn Spacing Default</t>
  </si>
  <si>
    <t>cm/turn</t>
  </si>
  <si>
    <t>yokexhi</t>
  </si>
  <si>
    <t>! Return yoke</t>
  </si>
  <si>
    <t>detendyhi</t>
  </si>
  <si>
    <t>! Return Yoke</t>
  </si>
  <si>
    <t>fixedin rad</t>
  </si>
  <si>
    <t>polendyhi</t>
  </si>
  <si>
    <t>! Yoke end pieces downstream</t>
  </si>
  <si>
    <t>! Upstream pole tip</t>
  </si>
  <si>
    <t>bpradius</t>
  </si>
  <si>
    <t>! Downstream pole tip</t>
  </si>
  <si>
    <t>;Coil turns</t>
  </si>
  <si>
    <t>;coil radius (ave)</t>
  </si>
  <si>
    <t>;Coil Current</t>
  </si>
  <si>
    <t>;central turn density</t>
  </si>
  <si>
    <t>;End turn density</t>
  </si>
  <si>
    <t>;coil half length</t>
  </si>
  <si>
    <t>;Central Region Half Length</t>
  </si>
  <si>
    <t>;coil inner radius</t>
  </si>
  <si>
    <t>;coil outer radius</t>
  </si>
  <si>
    <t>Region</t>
  </si>
  <si>
    <t>; detector space</t>
  </si>
  <si>
    <t>; flux thickness</t>
  </si>
  <si>
    <t>! Downsteam front magnet pole</t>
  </si>
  <si>
    <t>! Downsteam top</t>
  </si>
  <si>
    <t>; Top Thickness</t>
  </si>
  <si>
    <t>;coil field</t>
  </si>
  <si>
    <t>; thickness</t>
  </si>
  <si>
    <t>; Calorimeter area in layers</t>
  </si>
  <si>
    <t>;No. Layer</t>
  </si>
  <si>
    <t>;Layer Thick</t>
  </si>
  <si>
    <t>;Top above</t>
  </si>
  <si>
    <t>yreg2=</t>
  </si>
  <si>
    <t>Nose cone</t>
  </si>
  <si>
    <t>;ext into solenoid</t>
  </si>
  <si>
    <t>; below coil</t>
  </si>
  <si>
    <t>New Magnet</t>
  </si>
  <si>
    <t>SIDIS large</t>
  </si>
  <si>
    <t>sidis small</t>
  </si>
  <si>
    <t>pvdis</t>
  </si>
  <si>
    <t>Top Triangle</t>
  </si>
  <si>
    <t>; reach back or triangle</t>
  </si>
  <si>
    <t>Up stream pole tip</t>
  </si>
  <si>
    <t>! Upstream block</t>
  </si>
  <si>
    <t>;width</t>
  </si>
  <si>
    <t>;Upstream top</t>
  </si>
  <si>
    <t>; extent</t>
  </si>
  <si>
    <t>; Thickness</t>
  </si>
  <si>
    <t>;gap</t>
  </si>
  <si>
    <t>;thickness</t>
  </si>
  <si>
    <t>; cherenkov shield</t>
  </si>
  <si>
    <t>Height</t>
  </si>
  <si>
    <t>Base 1</t>
  </si>
  <si>
    <t>base 2</t>
  </si>
  <si>
    <t>;&amp;reg</t>
  </si>
  <si>
    <t>;&amp;po</t>
  </si>
  <si>
    <t>xreg4=</t>
  </si>
  <si>
    <t>, kreg4=</t>
  </si>
  <si>
    <t>base 3</t>
  </si>
  <si>
    <t>extra space</t>
  </si>
  <si>
    <t>; upstream target sihield</t>
  </si>
  <si>
    <t>upstream reach</t>
  </si>
  <si>
    <t>radial reach</t>
  </si>
  <si>
    <t>lip</t>
  </si>
  <si>
    <t>R</t>
  </si>
  <si>
    <t>Z</t>
  </si>
  <si>
    <t>Br</t>
  </si>
  <si>
    <t>Bz</t>
  </si>
  <si>
    <t>|B|</t>
  </si>
  <si>
    <t>A</t>
  </si>
  <si>
    <t>dBz/dr</t>
  </si>
  <si>
    <t>dBr/dz</t>
  </si>
  <si>
    <t>Field</t>
  </si>
  <si>
    <t>(cm)</t>
  </si>
  <si>
    <t>(G)</t>
  </si>
  <si>
    <t>(G-cm)</t>
  </si>
  <si>
    <t>(G/cm)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</si>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</sst>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/>
    <xf numFmtId="0" fontId="0" fillId="4" borderId="0" xfId="0" applyFill="1" applyProtection="1">
      <protection locked="0"/>
    </xf>
    <xf numFmtId="0" fontId="0" fillId="3" borderId="0" xfId="0" applyFill="1"/>
    <xf numFmtId="0" fontId="0" fillId="2" borderId="0" xfId="0" applyFill="1"/>
    <xf numFmtId="1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5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1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</cellXfs>
  <cellStyles count="7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CLEOv5!$C$110:$C$114</c:f>
              <c:numCache>
                <c:formatCode>0.00</c:formatCode>
                <c:ptCount val="5"/>
                <c:pt idx="0">
                  <c:v>-204.26</c:v>
                </c:pt>
                <c:pt idx="1">
                  <c:v>-204.26</c:v>
                </c:pt>
                <c:pt idx="2">
                  <c:v>-244.26</c:v>
                </c:pt>
                <c:pt idx="3">
                  <c:v>-244.26</c:v>
                </c:pt>
                <c:pt idx="4">
                  <c:v>-204.26</c:v>
                </c:pt>
              </c:numCache>
            </c:numRef>
          </c:xVal>
          <c:yVal>
            <c:numRef>
              <c:f>CLEOv5!$E$110:$E$114</c:f>
              <c:numCache>
                <c:formatCode>0.00</c:formatCode>
                <c:ptCount val="5"/>
                <c:pt idx="0">
                  <c:v>95.0</c:v>
                </c:pt>
                <c:pt idx="1">
                  <c:v>69.8876285947753</c:v>
                </c:pt>
                <c:pt idx="2">
                  <c:v>52.0784811830077</c:v>
                </c:pt>
                <c:pt idx="3">
                  <c:v>95.0</c:v>
                </c:pt>
                <c:pt idx="4">
                  <c:v>95.0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CLEOv5!$C$88:$C$92</c:f>
              <c:numCache>
                <c:formatCode>0.00</c:formatCode>
                <c:ptCount val="5"/>
                <c:pt idx="0">
                  <c:v>-204.26</c:v>
                </c:pt>
                <c:pt idx="1">
                  <c:v>-244.26</c:v>
                </c:pt>
                <c:pt idx="2">
                  <c:v>-244.26</c:v>
                </c:pt>
                <c:pt idx="3">
                  <c:v>-204.26</c:v>
                </c:pt>
                <c:pt idx="4">
                  <c:v>-204.26</c:v>
                </c:pt>
              </c:numCache>
            </c:numRef>
          </c:xVal>
          <c:yVal>
            <c:numRef>
              <c:f>CLEOv5!$E$88:$E$92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95.0</c:v>
                </c:pt>
                <c:pt idx="3">
                  <c:v>95.0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CLEOv5!$C$79:$C$83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CLEOv5!$E$79:$E$83</c:f>
              <c:numCache>
                <c:formatCode>0.00</c:formatCode>
                <c:ptCount val="5"/>
                <c:pt idx="0">
                  <c:v>180.0</c:v>
                </c:pt>
                <c:pt idx="1">
                  <c:v>180.0</c:v>
                </c:pt>
                <c:pt idx="2">
                  <c:v>216.0</c:v>
                </c:pt>
                <c:pt idx="3">
                  <c:v>216.0</c:v>
                </c:pt>
                <c:pt idx="4">
                  <c:v>180.0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CLEOv5!$C$71:$C$75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CLEOv5!$E$71:$E$75</c:f>
              <c:numCache>
                <c:formatCode>0.00</c:formatCode>
                <c:ptCount val="5"/>
                <c:pt idx="0">
                  <c:v>225.0</c:v>
                </c:pt>
                <c:pt idx="1">
                  <c:v>225.0</c:v>
                </c:pt>
                <c:pt idx="2">
                  <c:v>261.0</c:v>
                </c:pt>
                <c:pt idx="3">
                  <c:v>261.0</c:v>
                </c:pt>
                <c:pt idx="4">
                  <c:v>225.0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CLEOv5!$C$47:$C$51</c:f>
              <c:numCache>
                <c:formatCode>0.00</c:formatCode>
                <c:ptCount val="5"/>
                <c:pt idx="0">
                  <c:v>-175.0</c:v>
                </c:pt>
                <c:pt idx="1">
                  <c:v>-87.5</c:v>
                </c:pt>
                <c:pt idx="2">
                  <c:v>-87.5</c:v>
                </c:pt>
                <c:pt idx="3">
                  <c:v>-175.0</c:v>
                </c:pt>
                <c:pt idx="4">
                  <c:v>-175.0</c:v>
                </c:pt>
              </c:numCache>
            </c:numRef>
          </c:xVal>
          <c:yVal>
            <c:numRef>
              <c:f>CLEOv5!$E$47:$E$51</c:f>
              <c:numCache>
                <c:formatCode>0.00</c:formatCode>
                <c:ptCount val="5"/>
                <c:pt idx="0" formatCode="General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CLEOv5!$C$55:$C$59</c:f>
              <c:numCache>
                <c:formatCode>0.00</c:formatCode>
                <c:ptCount val="5"/>
                <c:pt idx="0">
                  <c:v>-87.5</c:v>
                </c:pt>
                <c:pt idx="1">
                  <c:v>87.5</c:v>
                </c:pt>
                <c:pt idx="2">
                  <c:v>87.5</c:v>
                </c:pt>
                <c:pt idx="3">
                  <c:v>-87.5</c:v>
                </c:pt>
                <c:pt idx="4">
                  <c:v>-87.5</c:v>
                </c:pt>
              </c:numCache>
            </c:numRef>
          </c:xVal>
          <c:yVal>
            <c:numRef>
              <c:f>CLEOv5!$E$55:$E$59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CLEOv5!$C$63:$C$67</c:f>
              <c:numCache>
                <c:formatCode>0.00</c:formatCode>
                <c:ptCount val="5"/>
                <c:pt idx="0">
                  <c:v>175.0</c:v>
                </c:pt>
                <c:pt idx="1">
                  <c:v>87.5</c:v>
                </c:pt>
                <c:pt idx="2">
                  <c:v>87.5</c:v>
                </c:pt>
                <c:pt idx="3">
                  <c:v>175.0</c:v>
                </c:pt>
                <c:pt idx="4">
                  <c:v>175.0</c:v>
                </c:pt>
              </c:numCache>
            </c:numRef>
          </c:xVal>
          <c:yVal>
            <c:numRef>
              <c:f>CLEOv5!$E$63:$E$67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CLEOv5!$C$127:$C$136</c:f>
              <c:numCache>
                <c:formatCode>0.00</c:formatCode>
                <c:ptCount val="10"/>
                <c:pt idx="0">
                  <c:v>175.26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200.26</c:v>
                </c:pt>
                <c:pt idx="5">
                  <c:v>191.9266666666666</c:v>
                </c:pt>
                <c:pt idx="6">
                  <c:v>183.5933333333333</c:v>
                </c:pt>
                <c:pt idx="7">
                  <c:v>183.5933333333333</c:v>
                </c:pt>
                <c:pt idx="8">
                  <c:v>175.26</c:v>
                </c:pt>
                <c:pt idx="9">
                  <c:v>175.26</c:v>
                </c:pt>
              </c:numCache>
            </c:numRef>
          </c:xVal>
          <c:yVal>
            <c:numRef>
              <c:f>CLEOv5!$E$127:$E$136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CLEOv5!$C$140:$C$144</c:f>
              <c:numCache>
                <c:formatCode>0.00</c:formatCode>
                <c:ptCount val="5"/>
                <c:pt idx="0">
                  <c:v>187.76</c:v>
                </c:pt>
                <c:pt idx="1">
                  <c:v>455.26</c:v>
                </c:pt>
                <c:pt idx="2">
                  <c:v>455.26</c:v>
                </c:pt>
                <c:pt idx="3">
                  <c:v>187.76</c:v>
                </c:pt>
                <c:pt idx="4">
                  <c:v>187.76</c:v>
                </c:pt>
              </c:numCache>
            </c:numRef>
          </c:xVal>
          <c:yVal>
            <c:numRef>
              <c:f>CLEOv5!$E$140:$E$144</c:f>
              <c:numCache>
                <c:formatCode>0.00</c:formatCode>
                <c:ptCount val="5"/>
                <c:pt idx="0">
                  <c:v>321.0</c:v>
                </c:pt>
                <c:pt idx="1">
                  <c:v>321.0</c:v>
                </c:pt>
                <c:pt idx="2">
                  <c:v>286.0</c:v>
                </c:pt>
                <c:pt idx="3">
                  <c:v>286.0</c:v>
                </c:pt>
                <c:pt idx="4">
                  <c:v>321.0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CLEOv5!$C$118:$C$123</c:f>
              <c:numCache>
                <c:formatCode>0.00</c:formatCode>
                <c:ptCount val="6"/>
                <c:pt idx="0">
                  <c:v>150.26</c:v>
                </c:pt>
                <c:pt idx="1">
                  <c:v>455.26</c:v>
                </c:pt>
                <c:pt idx="2">
                  <c:v>455.26</c:v>
                </c:pt>
                <c:pt idx="3">
                  <c:v>420.26</c:v>
                </c:pt>
                <c:pt idx="4">
                  <c:v>150.26</c:v>
                </c:pt>
                <c:pt idx="5">
                  <c:v>150.26</c:v>
                </c:pt>
              </c:numCache>
            </c:numRef>
          </c:xVal>
          <c:yVal>
            <c:numRef>
              <c:f>CLEOv5!$E$118:$E$123</c:f>
              <c:numCache>
                <c:formatCode>0.00</c:formatCode>
                <c:ptCount val="6"/>
                <c:pt idx="0">
                  <c:v>26.0096</c:v>
                </c:pt>
                <c:pt idx="1">
                  <c:v>26.0096</c:v>
                </c:pt>
                <c:pt idx="2">
                  <c:v>110.5038700284915</c:v>
                </c:pt>
                <c:pt idx="3">
                  <c:v>110.5038700284915</c:v>
                </c:pt>
                <c:pt idx="4">
                  <c:v>43.08502239204572</c:v>
                </c:pt>
                <c:pt idx="5">
                  <c:v>26.0096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CLEOv5!$C$148:$C$152</c:f>
              <c:numCache>
                <c:formatCode>0.00</c:formatCode>
                <c:ptCount val="5"/>
                <c:pt idx="0">
                  <c:v>420.26</c:v>
                </c:pt>
                <c:pt idx="1">
                  <c:v>455.26</c:v>
                </c:pt>
                <c:pt idx="2">
                  <c:v>455.26</c:v>
                </c:pt>
                <c:pt idx="3">
                  <c:v>420.26</c:v>
                </c:pt>
                <c:pt idx="4">
                  <c:v>420.26</c:v>
                </c:pt>
              </c:numCache>
            </c:numRef>
          </c:xVal>
          <c:yVal>
            <c:numRef>
              <c:f>CLEOv5!$E$148:$E$152</c:f>
              <c:numCache>
                <c:formatCode>0.00</c:formatCode>
                <c:ptCount val="5"/>
                <c:pt idx="0">
                  <c:v>110.5038700284915</c:v>
                </c:pt>
                <c:pt idx="1">
                  <c:v>110.5038700284915</c:v>
                </c:pt>
                <c:pt idx="2">
                  <c:v>286.0</c:v>
                </c:pt>
                <c:pt idx="3">
                  <c:v>286.0</c:v>
                </c:pt>
                <c:pt idx="4">
                  <c:v>110.5038700284915</c:v>
                </c:pt>
              </c:numCache>
            </c:numRef>
          </c:yVal>
          <c:smooth val="0"/>
        </c:ser>
        <c:ser>
          <c:idx val="15"/>
          <c:order val="11"/>
          <c:tx>
            <c:v>sidis high 1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CLEOv5!$K$3:$K$4</c:f>
              <c:numCache>
                <c:formatCode>General</c:formatCode>
                <c:ptCount val="2"/>
                <c:pt idx="0">
                  <c:v>-350.0</c:v>
                </c:pt>
                <c:pt idx="1">
                  <c:v>128.1524146181353</c:v>
                </c:pt>
              </c:numCache>
            </c:numRef>
          </c:xVal>
          <c:yVal>
            <c:numRef>
              <c:f>CLEOv5!$L$3:$L$4</c:f>
              <c:numCache>
                <c:formatCode>General</c:formatCode>
                <c:ptCount val="2"/>
                <c:pt idx="0">
                  <c:v>0.0</c:v>
                </c:pt>
                <c:pt idx="1">
                  <c:v>146.1857325283383</c:v>
                </c:pt>
              </c:numCache>
            </c:numRef>
          </c:yVal>
          <c:smooth val="0"/>
        </c:ser>
        <c:ser>
          <c:idx val="16"/>
          <c:order val="12"/>
          <c:tx>
            <c:v>sidis hi 2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CLEOv5!$K$5:$K$6</c:f>
              <c:numCache>
                <c:formatCode>General</c:formatCode>
                <c:ptCount val="2"/>
                <c:pt idx="0">
                  <c:v>-350.0</c:v>
                </c:pt>
                <c:pt idx="1">
                  <c:v>106.7728007754188</c:v>
                </c:pt>
              </c:numCache>
            </c:numRef>
          </c:xVal>
          <c:yVal>
            <c:numRef>
              <c:f>CLEOv5!$L$5:$L$6</c:f>
              <c:numCache>
                <c:formatCode>General</c:formatCode>
                <c:ptCount val="2"/>
                <c:pt idx="0">
                  <c:v>0.0</c:v>
                </c:pt>
                <c:pt idx="1">
                  <c:v>203.3681599262272</c:v>
                </c:pt>
              </c:numCache>
            </c:numRef>
          </c:yVal>
          <c:smooth val="0"/>
        </c:ser>
        <c:ser>
          <c:idx val="17"/>
          <c:order val="13"/>
          <c:tx>
            <c:v>sidis low 1</c:v>
          </c:tx>
          <c:spPr>
            <a:ln w="38100" cmpd="dbl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CLEOv5!$K$7:$K$8</c:f>
              <c:numCache>
                <c:formatCode>General</c:formatCode>
                <c:ptCount val="2"/>
                <c:pt idx="0">
                  <c:v>-350.0</c:v>
                </c:pt>
                <c:pt idx="1">
                  <c:v>439.484590850422</c:v>
                </c:pt>
              </c:numCache>
            </c:numRef>
          </c:xVal>
          <c:yVal>
            <c:numRef>
              <c:f>CLEOv5!$L$7:$L$8</c:f>
              <c:numCache>
                <c:formatCode>General</c:formatCode>
                <c:ptCount val="2"/>
                <c:pt idx="0">
                  <c:v>0.0</c:v>
                </c:pt>
                <c:pt idx="1">
                  <c:v>129.2829486426637</c:v>
                </c:pt>
              </c:numCache>
            </c:numRef>
          </c:yVal>
          <c:smooth val="0"/>
        </c:ser>
        <c:ser>
          <c:idx val="18"/>
          <c:order val="14"/>
          <c:tx>
            <c:v>sidis low 2</c:v>
          </c:tx>
          <c:spPr>
            <a:ln w="38100" cmpd="dbl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CLEOv5!$K$9:$K$10</c:f>
              <c:numCache>
                <c:formatCode>General</c:formatCode>
                <c:ptCount val="2"/>
                <c:pt idx="0">
                  <c:v>-350.0</c:v>
                </c:pt>
                <c:pt idx="1">
                  <c:v>425.2126267819541</c:v>
                </c:pt>
              </c:numCache>
            </c:numRef>
          </c:xVal>
          <c:yVal>
            <c:numRef>
              <c:f>CLEOv5!$L$9:$L$10</c:f>
              <c:numCache>
                <c:formatCode>General</c:formatCode>
                <c:ptCount val="2"/>
                <c:pt idx="0">
                  <c:v>0.0</c:v>
                </c:pt>
                <c:pt idx="1">
                  <c:v>197.5990467533249</c:v>
                </c:pt>
              </c:numCache>
            </c:numRef>
          </c:yVal>
          <c:smooth val="0"/>
        </c:ser>
        <c:ser>
          <c:idx val="19"/>
          <c:order val="15"/>
          <c:tx>
            <c:v> pvdis 1</c:v>
          </c:tx>
          <c:marker>
            <c:symbol val="none"/>
          </c:marker>
          <c:dPt>
            <c:idx val="1"/>
            <c:bubble3D val="0"/>
            <c:spPr>
              <a:ln w="38100" cmpd="dbl">
                <a:solidFill>
                  <a:srgbClr val="0000FF"/>
                </a:solidFill>
              </a:ln>
            </c:spPr>
          </c:dPt>
          <c:xVal>
            <c:numRef>
              <c:f>CLEOv5!$K$11:$K$12</c:f>
              <c:numCache>
                <c:formatCode>General</c:formatCode>
                <c:ptCount val="2"/>
                <c:pt idx="0">
                  <c:v>0.0</c:v>
                </c:pt>
                <c:pt idx="1">
                  <c:v>409.5761701202197</c:v>
                </c:pt>
              </c:numCache>
            </c:numRef>
          </c:xVal>
          <c:yVal>
            <c:numRef>
              <c:f>CLEOv5!$L$11:$L$12</c:f>
              <c:numCache>
                <c:formatCode>General</c:formatCode>
                <c:ptCount val="2"/>
                <c:pt idx="0">
                  <c:v>0.0</c:v>
                </c:pt>
                <c:pt idx="1">
                  <c:v>286.788006844172</c:v>
                </c:pt>
              </c:numCache>
            </c:numRef>
          </c:yVal>
          <c:smooth val="0"/>
        </c:ser>
        <c:ser>
          <c:idx val="20"/>
          <c:order val="16"/>
          <c:tx>
            <c:v>pvdis 2</c:v>
          </c:tx>
          <c:spPr>
            <a:ln w="38100" cmpd="dbl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CLEOv5!$K$13:$K$14</c:f>
              <c:numCache>
                <c:formatCode>General</c:formatCode>
                <c:ptCount val="2"/>
                <c:pt idx="0">
                  <c:v>0.0</c:v>
                </c:pt>
                <c:pt idx="1">
                  <c:v>469.8463608141094</c:v>
                </c:pt>
              </c:numCache>
            </c:numRef>
          </c:xVal>
          <c:yVal>
            <c:numRef>
              <c:f>CLEOv5!$L$13:$L$14</c:f>
              <c:numCache>
                <c:formatCode>General</c:formatCode>
                <c:ptCount val="2"/>
                <c:pt idx="0">
                  <c:v>0.0</c:v>
                </c:pt>
                <c:pt idx="1">
                  <c:v>171.0099331317854</c:v>
                </c:pt>
              </c:numCache>
            </c:numRef>
          </c:yVal>
          <c:smooth val="0"/>
        </c:ser>
        <c:ser>
          <c:idx val="21"/>
          <c:order val="17"/>
          <c:tx>
            <c:v>top triangle 13</c:v>
          </c:tx>
          <c:marker>
            <c:symbol val="none"/>
          </c:marker>
          <c:xVal>
            <c:numRef>
              <c:f>CLEOv5!$C$156:$C$159</c:f>
              <c:numCache>
                <c:formatCode>0.00</c:formatCode>
                <c:ptCount val="4"/>
                <c:pt idx="0">
                  <c:v>187.76</c:v>
                </c:pt>
                <c:pt idx="1">
                  <c:v>187.76</c:v>
                </c:pt>
                <c:pt idx="2">
                  <c:v>87.76</c:v>
                </c:pt>
                <c:pt idx="3">
                  <c:v>187.76</c:v>
                </c:pt>
              </c:numCache>
            </c:numRef>
          </c:xVal>
          <c:yVal>
            <c:numRef>
              <c:f>CLEOv5!$E$156:$E$159</c:f>
              <c:numCache>
                <c:formatCode>0.00</c:formatCode>
                <c:ptCount val="4"/>
                <c:pt idx="0">
                  <c:v>321.0</c:v>
                </c:pt>
                <c:pt idx="1">
                  <c:v>261.0</c:v>
                </c:pt>
                <c:pt idx="2">
                  <c:v>261.0</c:v>
                </c:pt>
                <c:pt idx="3">
                  <c:v>321.0</c:v>
                </c:pt>
              </c:numCache>
            </c:numRef>
          </c:yVal>
          <c:smooth val="0"/>
        </c:ser>
        <c:ser>
          <c:idx val="22"/>
          <c:order val="18"/>
          <c:tx>
            <c:v>Upstream pole tip r8</c:v>
          </c:tx>
          <c:marker>
            <c:symbol val="none"/>
          </c:marker>
          <c:xVal>
            <c:numRef>
              <c:f>CLEOv5!$C$96:$C$105</c:f>
              <c:numCache>
                <c:formatCode>0.00</c:formatCode>
                <c:ptCount val="10"/>
                <c:pt idx="0">
                  <c:v>-175.26</c:v>
                </c:pt>
                <c:pt idx="1">
                  <c:v>-187.76</c:v>
                </c:pt>
                <c:pt idx="2">
                  <c:v>-187.76</c:v>
                </c:pt>
                <c:pt idx="3">
                  <c:v>-200.26</c:v>
                </c:pt>
                <c:pt idx="4">
                  <c:v>-200.26</c:v>
                </c:pt>
                <c:pt idx="5">
                  <c:v>-191.9266666666666</c:v>
                </c:pt>
                <c:pt idx="6">
                  <c:v>-183.5933333333333</c:v>
                </c:pt>
                <c:pt idx="7">
                  <c:v>-183.5933333333333</c:v>
                </c:pt>
                <c:pt idx="8">
                  <c:v>-175.26</c:v>
                </c:pt>
                <c:pt idx="9">
                  <c:v>-175.26</c:v>
                </c:pt>
              </c:numCache>
            </c:numRef>
          </c:xVal>
          <c:yVal>
            <c:numRef>
              <c:f>CLEOv5!$E$96:$E$105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24"/>
          <c:order val="19"/>
          <c:tx>
            <c:v>upstream top</c:v>
          </c:tx>
          <c:marker>
            <c:symbol val="none"/>
          </c:marker>
          <c:xVal>
            <c:numRef>
              <c:f>CLEOv5!$C$163:$C$167</c:f>
              <c:numCache>
                <c:formatCode>0.00</c:formatCode>
                <c:ptCount val="5"/>
                <c:pt idx="0">
                  <c:v>-244.26</c:v>
                </c:pt>
                <c:pt idx="1">
                  <c:v>-124.26</c:v>
                </c:pt>
                <c:pt idx="2">
                  <c:v>-154.26</c:v>
                </c:pt>
                <c:pt idx="3">
                  <c:v>-214.26</c:v>
                </c:pt>
                <c:pt idx="4">
                  <c:v>-244.26</c:v>
                </c:pt>
              </c:numCache>
            </c:numRef>
          </c:xVal>
          <c:yVal>
            <c:numRef>
              <c:f>CLEOv5!$E$163:$E$167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281.0</c:v>
                </c:pt>
                <c:pt idx="3">
                  <c:v>281.0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11"/>
          <c:order val="20"/>
          <c:tx>
            <c:v>Cherenkov Shield</c:v>
          </c:tx>
          <c:marker>
            <c:symbol val="none"/>
          </c:marker>
          <c:xVal>
            <c:numRef>
              <c:f>CLEOv5!$C$171:$C$175</c:f>
              <c:numCache>
                <c:formatCode>0.00</c:formatCode>
                <c:ptCount val="5"/>
                <c:pt idx="0">
                  <c:v>250.0</c:v>
                </c:pt>
                <c:pt idx="1">
                  <c:v>280.0</c:v>
                </c:pt>
                <c:pt idx="2">
                  <c:v>283.0</c:v>
                </c:pt>
                <c:pt idx="3">
                  <c:v>305.0</c:v>
                </c:pt>
                <c:pt idx="4">
                  <c:v>250.0</c:v>
                </c:pt>
              </c:numCache>
            </c:numRef>
          </c:xVal>
          <c:yVal>
            <c:numRef>
              <c:f>CLEOv5!$E$171:$E$175</c:f>
              <c:numCache>
                <c:formatCode>0.00</c:formatCode>
                <c:ptCount val="5"/>
                <c:pt idx="0">
                  <c:v>286.0</c:v>
                </c:pt>
                <c:pt idx="1">
                  <c:v>223.0</c:v>
                </c:pt>
                <c:pt idx="2">
                  <c:v>223.0</c:v>
                </c:pt>
                <c:pt idx="3">
                  <c:v>286.0</c:v>
                </c:pt>
                <c:pt idx="4">
                  <c:v>286.0</c:v>
                </c:pt>
              </c:numCache>
            </c:numRef>
          </c:yVal>
          <c:smooth val="0"/>
        </c:ser>
        <c:ser>
          <c:idx val="12"/>
          <c:order val="21"/>
          <c:tx>
            <c:v>target shield 18</c:v>
          </c:tx>
          <c:marker>
            <c:symbol val="none"/>
          </c:marker>
          <c:xVal>
            <c:numRef>
              <c:f>CLEOv5!$C$188:$C$192</c:f>
              <c:numCache>
                <c:formatCode>0.00</c:formatCode>
                <c:ptCount val="5"/>
                <c:pt idx="0">
                  <c:v>-244.26</c:v>
                </c:pt>
                <c:pt idx="1">
                  <c:v>-299.26</c:v>
                </c:pt>
                <c:pt idx="2">
                  <c:v>-309.26</c:v>
                </c:pt>
                <c:pt idx="3">
                  <c:v>-244.26</c:v>
                </c:pt>
                <c:pt idx="4">
                  <c:v>-244.26</c:v>
                </c:pt>
              </c:numCache>
            </c:numRef>
          </c:xVal>
          <c:yVal>
            <c:numRef>
              <c:f>CLEOv5!$E$188:$E$192</c:f>
              <c:numCache>
                <c:formatCode>0.00</c:formatCode>
                <c:ptCount val="5"/>
                <c:pt idx="0">
                  <c:v>52.0784811830077</c:v>
                </c:pt>
                <c:pt idx="1">
                  <c:v>27.59090349182723</c:v>
                </c:pt>
                <c:pt idx="2">
                  <c:v>27.59090349182723</c:v>
                </c:pt>
                <c:pt idx="3">
                  <c:v>142.0784811830077</c:v>
                </c:pt>
                <c:pt idx="4">
                  <c:v>52.0784811830077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50008"/>
        <c:axId val="712952904"/>
      </c:scatterChart>
      <c:valAx>
        <c:axId val="712950008"/>
        <c:scaling>
          <c:orientation val="minMax"/>
          <c:max val="500.0"/>
          <c:min val="-400.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712952904"/>
        <c:crosses val="autoZero"/>
        <c:crossBetween val="midCat"/>
      </c:valAx>
      <c:valAx>
        <c:axId val="712952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129500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CLEOv4!$C$110:$C$115</c:f>
              <c:numCache>
                <c:formatCode>0.00</c:formatCode>
                <c:ptCount val="6"/>
                <c:pt idx="0">
                  <c:v>-244.26</c:v>
                </c:pt>
                <c:pt idx="1">
                  <c:v>-235.473</c:v>
                </c:pt>
                <c:pt idx="2">
                  <c:v>-204.26</c:v>
                </c:pt>
                <c:pt idx="3">
                  <c:v>-204.26</c:v>
                </c:pt>
                <c:pt idx="4">
                  <c:v>-244.26</c:v>
                </c:pt>
                <c:pt idx="5">
                  <c:v>-244.26</c:v>
                </c:pt>
              </c:numCache>
            </c:numRef>
          </c:xVal>
          <c:yVal>
            <c:numRef>
              <c:f>CLEOv4!$E$110:$E$115</c:f>
              <c:numCache>
                <c:formatCode>0.00</c:formatCode>
                <c:ptCount val="6"/>
                <c:pt idx="0">
                  <c:v>17.0</c:v>
                </c:pt>
                <c:pt idx="1">
                  <c:v>17.0</c:v>
                </c:pt>
                <c:pt idx="2">
                  <c:v>27.0</c:v>
                </c:pt>
                <c:pt idx="3">
                  <c:v>95.0</c:v>
                </c:pt>
                <c:pt idx="4">
                  <c:v>95.0</c:v>
                </c:pt>
                <c:pt idx="5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CLEOv4!$C$88:$C$92</c:f>
              <c:numCache>
                <c:formatCode>0.00</c:formatCode>
                <c:ptCount val="5"/>
                <c:pt idx="0">
                  <c:v>-204.26</c:v>
                </c:pt>
                <c:pt idx="1">
                  <c:v>-244.26</c:v>
                </c:pt>
                <c:pt idx="2">
                  <c:v>-244.26</c:v>
                </c:pt>
                <c:pt idx="3">
                  <c:v>-204.26</c:v>
                </c:pt>
                <c:pt idx="4">
                  <c:v>-204.26</c:v>
                </c:pt>
              </c:numCache>
            </c:numRef>
          </c:xVal>
          <c:yVal>
            <c:numRef>
              <c:f>CLEOv4!$E$88:$E$92</c:f>
              <c:numCache>
                <c:formatCode>0.00</c:formatCode>
                <c:ptCount val="5"/>
                <c:pt idx="0">
                  <c:v>261.0</c:v>
                </c:pt>
                <c:pt idx="1">
                  <c:v>261.0</c:v>
                </c:pt>
                <c:pt idx="2">
                  <c:v>95.0</c:v>
                </c:pt>
                <c:pt idx="3">
                  <c:v>95.0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CLEOv4!$C$79:$C$83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CLEOv4!$E$79:$E$83</c:f>
              <c:numCache>
                <c:formatCode>0.00</c:formatCode>
                <c:ptCount val="5"/>
                <c:pt idx="0">
                  <c:v>180.0</c:v>
                </c:pt>
                <c:pt idx="1">
                  <c:v>180.0</c:v>
                </c:pt>
                <c:pt idx="2">
                  <c:v>216.0</c:v>
                </c:pt>
                <c:pt idx="3">
                  <c:v>216.0</c:v>
                </c:pt>
                <c:pt idx="4">
                  <c:v>180.0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CLEOv4!$C$71:$C$75</c:f>
              <c:numCache>
                <c:formatCode>0.00</c:formatCode>
                <c:ptCount val="5"/>
                <c:pt idx="0">
                  <c:v>-175.26</c:v>
                </c:pt>
                <c:pt idx="1">
                  <c:v>175.26</c:v>
                </c:pt>
                <c:pt idx="2">
                  <c:v>175.26</c:v>
                </c:pt>
                <c:pt idx="3">
                  <c:v>-175.26</c:v>
                </c:pt>
                <c:pt idx="4">
                  <c:v>-175.26</c:v>
                </c:pt>
              </c:numCache>
            </c:numRef>
          </c:xVal>
          <c:yVal>
            <c:numRef>
              <c:f>CLEOv4!$E$71:$E$75</c:f>
              <c:numCache>
                <c:formatCode>0.00</c:formatCode>
                <c:ptCount val="5"/>
                <c:pt idx="0">
                  <c:v>225.0</c:v>
                </c:pt>
                <c:pt idx="1">
                  <c:v>225.0</c:v>
                </c:pt>
                <c:pt idx="2">
                  <c:v>261.0</c:v>
                </c:pt>
                <c:pt idx="3">
                  <c:v>261.0</c:v>
                </c:pt>
                <c:pt idx="4">
                  <c:v>225.0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CLEOv4!$C$47:$C$51</c:f>
              <c:numCache>
                <c:formatCode>0.00</c:formatCode>
                <c:ptCount val="5"/>
                <c:pt idx="0">
                  <c:v>-175.0</c:v>
                </c:pt>
                <c:pt idx="1">
                  <c:v>-87.5</c:v>
                </c:pt>
                <c:pt idx="2">
                  <c:v>-87.5</c:v>
                </c:pt>
                <c:pt idx="3">
                  <c:v>-175.0</c:v>
                </c:pt>
                <c:pt idx="4">
                  <c:v>-175.0</c:v>
                </c:pt>
              </c:numCache>
            </c:numRef>
          </c:xVal>
          <c:yVal>
            <c:numRef>
              <c:f>CLEOv4!$E$47:$E$51</c:f>
              <c:numCache>
                <c:formatCode>0.00</c:formatCode>
                <c:ptCount val="5"/>
                <c:pt idx="0" formatCode="General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CLEOv4!$C$55:$C$59</c:f>
              <c:numCache>
                <c:formatCode>0.00</c:formatCode>
                <c:ptCount val="5"/>
                <c:pt idx="0">
                  <c:v>-87.5</c:v>
                </c:pt>
                <c:pt idx="1">
                  <c:v>87.5</c:v>
                </c:pt>
                <c:pt idx="2">
                  <c:v>87.5</c:v>
                </c:pt>
                <c:pt idx="3">
                  <c:v>-87.5</c:v>
                </c:pt>
                <c:pt idx="4">
                  <c:v>-87.5</c:v>
                </c:pt>
              </c:numCache>
            </c:numRef>
          </c:xVal>
          <c:yVal>
            <c:numRef>
              <c:f>CLEOv4!$E$55:$E$59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CLEOv4!$C$63:$C$67</c:f>
              <c:numCache>
                <c:formatCode>0.00</c:formatCode>
                <c:ptCount val="5"/>
                <c:pt idx="0">
                  <c:v>175.0</c:v>
                </c:pt>
                <c:pt idx="1">
                  <c:v>87.5</c:v>
                </c:pt>
                <c:pt idx="2">
                  <c:v>87.5</c:v>
                </c:pt>
                <c:pt idx="3">
                  <c:v>175.0</c:v>
                </c:pt>
                <c:pt idx="4">
                  <c:v>175.0</c:v>
                </c:pt>
              </c:numCache>
            </c:numRef>
          </c:xVal>
          <c:yVal>
            <c:numRef>
              <c:f>CLEOv4!$E$63:$E$67</c:f>
              <c:numCache>
                <c:formatCode>0.00</c:formatCode>
                <c:ptCount val="5"/>
                <c:pt idx="0">
                  <c:v>156.0</c:v>
                </c:pt>
                <c:pt idx="1">
                  <c:v>156.0</c:v>
                </c:pt>
                <c:pt idx="2">
                  <c:v>154.0</c:v>
                </c:pt>
                <c:pt idx="3">
                  <c:v>154.0</c:v>
                </c:pt>
                <c:pt idx="4">
                  <c:v>156.0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CLEOv4!$C$128:$C$137</c:f>
              <c:numCache>
                <c:formatCode>0.00</c:formatCode>
                <c:ptCount val="10"/>
                <c:pt idx="0">
                  <c:v>175.26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200.26</c:v>
                </c:pt>
                <c:pt idx="5">
                  <c:v>191.9266666666666</c:v>
                </c:pt>
                <c:pt idx="6">
                  <c:v>183.5933333333333</c:v>
                </c:pt>
                <c:pt idx="7">
                  <c:v>183.5933333333333</c:v>
                </c:pt>
                <c:pt idx="8">
                  <c:v>175.26</c:v>
                </c:pt>
                <c:pt idx="9">
                  <c:v>175.26</c:v>
                </c:pt>
              </c:numCache>
            </c:numRef>
          </c:xVal>
          <c:yVal>
            <c:numRef>
              <c:f>CLEOv4!$E$128:$E$137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CLEOv4!$C$141:$C$145</c:f>
              <c:numCache>
                <c:formatCode>0.00</c:formatCode>
                <c:ptCount val="5"/>
                <c:pt idx="0">
                  <c:v>187.76</c:v>
                </c:pt>
                <c:pt idx="1">
                  <c:v>410.26</c:v>
                </c:pt>
                <c:pt idx="2">
                  <c:v>410.26</c:v>
                </c:pt>
                <c:pt idx="3">
                  <c:v>187.76</c:v>
                </c:pt>
                <c:pt idx="4">
                  <c:v>187.76</c:v>
                </c:pt>
              </c:numCache>
            </c:numRef>
          </c:xVal>
          <c:yVal>
            <c:numRef>
              <c:f>CLEOv4!$E$141:$E$145</c:f>
              <c:numCache>
                <c:formatCode>0.00</c:formatCode>
                <c:ptCount val="5"/>
                <c:pt idx="0">
                  <c:v>321.0</c:v>
                </c:pt>
                <c:pt idx="1">
                  <c:v>321.0</c:v>
                </c:pt>
                <c:pt idx="2">
                  <c:v>281.0</c:v>
                </c:pt>
                <c:pt idx="3">
                  <c:v>281.0</c:v>
                </c:pt>
                <c:pt idx="4">
                  <c:v>321.0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CLEOv4!$C$119:$C$124</c:f>
              <c:numCache>
                <c:formatCode>0.00</c:formatCode>
                <c:ptCount val="6"/>
                <c:pt idx="0">
                  <c:v>155.26</c:v>
                </c:pt>
                <c:pt idx="1">
                  <c:v>410.26</c:v>
                </c:pt>
                <c:pt idx="2">
                  <c:v>410.26</c:v>
                </c:pt>
                <c:pt idx="3">
                  <c:v>375.26</c:v>
                </c:pt>
                <c:pt idx="4">
                  <c:v>155.26</c:v>
                </c:pt>
                <c:pt idx="5">
                  <c:v>155.26</c:v>
                </c:pt>
              </c:numCache>
            </c:numRef>
          </c:xVal>
          <c:yVal>
            <c:numRef>
              <c:f>CLEOv4!$E$119:$E$124</c:f>
              <c:numCache>
                <c:formatCode>0.00</c:formatCode>
                <c:ptCount val="6"/>
                <c:pt idx="0">
                  <c:v>26.0096</c:v>
                </c:pt>
                <c:pt idx="1">
                  <c:v>26.0096</c:v>
                </c:pt>
                <c:pt idx="2">
                  <c:v>77.9977966858921</c:v>
                </c:pt>
                <c:pt idx="3">
                  <c:v>77.9977966858921</c:v>
                </c:pt>
                <c:pt idx="4">
                  <c:v>47.4662599944988</c:v>
                </c:pt>
                <c:pt idx="5">
                  <c:v>26.0096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CLEOv4!$C$149:$C$153</c:f>
              <c:numCache>
                <c:formatCode>0.00</c:formatCode>
                <c:ptCount val="5"/>
                <c:pt idx="0">
                  <c:v>375.26</c:v>
                </c:pt>
                <c:pt idx="1">
                  <c:v>410.26</c:v>
                </c:pt>
                <c:pt idx="2">
                  <c:v>410.26</c:v>
                </c:pt>
                <c:pt idx="3">
                  <c:v>375.26</c:v>
                </c:pt>
                <c:pt idx="4">
                  <c:v>375.26</c:v>
                </c:pt>
              </c:numCache>
            </c:numRef>
          </c:xVal>
          <c:yVal>
            <c:numRef>
              <c:f>CLEOv4!$E$149:$E$153</c:f>
              <c:numCache>
                <c:formatCode>0.00</c:formatCode>
                <c:ptCount val="5"/>
                <c:pt idx="0">
                  <c:v>77.9977966858921</c:v>
                </c:pt>
                <c:pt idx="1">
                  <c:v>77.9977966858921</c:v>
                </c:pt>
                <c:pt idx="2">
                  <c:v>281.0</c:v>
                </c:pt>
                <c:pt idx="3">
                  <c:v>281.0</c:v>
                </c:pt>
                <c:pt idx="4">
                  <c:v>77.9977966858921</c:v>
                </c:pt>
              </c:numCache>
            </c:numRef>
          </c:yVal>
          <c:smooth val="0"/>
        </c:ser>
        <c:ser>
          <c:idx val="15"/>
          <c:order val="11"/>
          <c:tx>
            <c:v>sidis high 1</c:v>
          </c:tx>
          <c:marker>
            <c:symbol val="none"/>
          </c:marker>
          <c:xVal>
            <c:numRef>
              <c:f>CLEOv4!$K$3:$K$4</c:f>
              <c:numCache>
                <c:formatCode>General</c:formatCode>
                <c:ptCount val="2"/>
                <c:pt idx="0">
                  <c:v>-260.0</c:v>
                </c:pt>
                <c:pt idx="1">
                  <c:v>227.1850539483356</c:v>
                </c:pt>
              </c:numCache>
            </c:numRef>
          </c:xVal>
          <c:yVal>
            <c:numRef>
              <c:f>CLEOv4!$L$3:$L$4</c:f>
              <c:numCache>
                <c:formatCode>General</c:formatCode>
                <c:ptCount val="2"/>
                <c:pt idx="0">
                  <c:v>0.0</c:v>
                </c:pt>
                <c:pt idx="1">
                  <c:v>112.4754338038194</c:v>
                </c:pt>
              </c:numCache>
            </c:numRef>
          </c:yVal>
          <c:smooth val="0"/>
        </c:ser>
        <c:ser>
          <c:idx val="16"/>
          <c:order val="12"/>
          <c:tx>
            <c:v>sidis hi 2</c:v>
          </c:tx>
          <c:marker>
            <c:symbol val="none"/>
          </c:marker>
          <c:xVal>
            <c:numRef>
              <c:f>CLEOv4!$K$5:$K$6</c:f>
              <c:numCache>
                <c:formatCode>General</c:formatCode>
                <c:ptCount val="2"/>
                <c:pt idx="0">
                  <c:v>-260.0</c:v>
                </c:pt>
                <c:pt idx="1">
                  <c:v>203.5919880310058</c:v>
                </c:pt>
              </c:numCache>
            </c:numRef>
          </c:xVal>
          <c:yVal>
            <c:numRef>
              <c:f>CLEOv4!$L$5:$L$6</c:f>
              <c:numCache>
                <c:formatCode>General</c:formatCode>
                <c:ptCount val="2"/>
                <c:pt idx="0">
                  <c:v>0.0</c:v>
                </c:pt>
                <c:pt idx="1">
                  <c:v>187.3031463522698</c:v>
                </c:pt>
              </c:numCache>
            </c:numRef>
          </c:yVal>
          <c:smooth val="0"/>
        </c:ser>
        <c:ser>
          <c:idx val="17"/>
          <c:order val="13"/>
          <c:tx>
            <c:v>sidis low 1</c:v>
          </c:tx>
          <c:marker>
            <c:symbol val="none"/>
          </c:marker>
          <c:xVal>
            <c:numRef>
              <c:f>CLEOv4!$K$7:$K$8</c:f>
              <c:numCache>
                <c:formatCode>General</c:formatCode>
                <c:ptCount val="2"/>
                <c:pt idx="0">
                  <c:v>-260.0</c:v>
                </c:pt>
                <c:pt idx="1">
                  <c:v>236.2730821088215</c:v>
                </c:pt>
              </c:numCache>
            </c:numRef>
          </c:xVal>
          <c:yVal>
            <c:numRef>
              <c:f>CLEOv4!$L$7:$L$8</c:f>
              <c:numCache>
                <c:formatCode>General</c:formatCode>
                <c:ptCount val="2"/>
                <c:pt idx="0">
                  <c:v>0.0</c:v>
                </c:pt>
                <c:pt idx="1">
                  <c:v>60.93462048959463</c:v>
                </c:pt>
              </c:numCache>
            </c:numRef>
          </c:yVal>
          <c:smooth val="0"/>
        </c:ser>
        <c:ser>
          <c:idx val="18"/>
          <c:order val="14"/>
          <c:tx>
            <c:v>sidis low 2</c:v>
          </c:tx>
          <c:marker>
            <c:symbol val="none"/>
          </c:marker>
          <c:xVal>
            <c:numRef>
              <c:f>CLEOv4!$K$9:$K$10</c:f>
              <c:numCache>
                <c:formatCode>General</c:formatCode>
                <c:ptCount val="2"/>
                <c:pt idx="0">
                  <c:v>-260.0</c:v>
                </c:pt>
                <c:pt idx="1">
                  <c:v>229.0738187573065</c:v>
                </c:pt>
              </c:numCache>
            </c:numRef>
          </c:xVal>
          <c:yVal>
            <c:numRef>
              <c:f>CLEOv4!$L$9:$L$10</c:f>
              <c:numCache>
                <c:formatCode>General</c:formatCode>
                <c:ptCount val="2"/>
                <c:pt idx="0">
                  <c:v>0.0</c:v>
                </c:pt>
                <c:pt idx="1">
                  <c:v>103.955758888795</c:v>
                </c:pt>
              </c:numCache>
            </c:numRef>
          </c:yVal>
          <c:smooth val="0"/>
        </c:ser>
        <c:ser>
          <c:idx val="19"/>
          <c:order val="15"/>
          <c:tx>
            <c:v> pvdis 1</c:v>
          </c:tx>
          <c:marker>
            <c:symbol val="none"/>
          </c:marker>
          <c:xVal>
            <c:numRef>
              <c:f>CLEOv4!$K$11:$K$12</c:f>
              <c:numCache>
                <c:formatCode>General</c:formatCode>
                <c:ptCount val="2"/>
                <c:pt idx="0">
                  <c:v>0.0</c:v>
                </c:pt>
                <c:pt idx="1">
                  <c:v>409.5761701202197</c:v>
                </c:pt>
              </c:numCache>
            </c:numRef>
          </c:xVal>
          <c:yVal>
            <c:numRef>
              <c:f>CLEOv4!$L$11:$L$12</c:f>
              <c:numCache>
                <c:formatCode>General</c:formatCode>
                <c:ptCount val="2"/>
                <c:pt idx="0">
                  <c:v>0.0</c:v>
                </c:pt>
                <c:pt idx="1">
                  <c:v>286.788006844172</c:v>
                </c:pt>
              </c:numCache>
            </c:numRef>
          </c:yVal>
          <c:smooth val="0"/>
        </c:ser>
        <c:ser>
          <c:idx val="20"/>
          <c:order val="16"/>
          <c:tx>
            <c:v>pvdis 2</c:v>
          </c:tx>
          <c:marker>
            <c:symbol val="none"/>
          </c:marker>
          <c:xVal>
            <c:numRef>
              <c:f>CLEOv4!$K$13:$K$14</c:f>
              <c:numCache>
                <c:formatCode>General</c:formatCode>
                <c:ptCount val="2"/>
                <c:pt idx="0">
                  <c:v>0.0</c:v>
                </c:pt>
                <c:pt idx="1">
                  <c:v>469.8463608141094</c:v>
                </c:pt>
              </c:numCache>
            </c:numRef>
          </c:xVal>
          <c:yVal>
            <c:numRef>
              <c:f>CLEOv4!$L$13:$L$14</c:f>
              <c:numCache>
                <c:formatCode>General</c:formatCode>
                <c:ptCount val="2"/>
                <c:pt idx="0">
                  <c:v>0.0</c:v>
                </c:pt>
                <c:pt idx="1">
                  <c:v>171.0099331317854</c:v>
                </c:pt>
              </c:numCache>
            </c:numRef>
          </c:yVal>
          <c:smooth val="0"/>
        </c:ser>
        <c:ser>
          <c:idx val="21"/>
          <c:order val="17"/>
          <c:tx>
            <c:v>top triangle 13</c:v>
          </c:tx>
          <c:marker>
            <c:symbol val="none"/>
          </c:marker>
          <c:xVal>
            <c:numRef>
              <c:f>CLEOv4!$C$157:$C$160</c:f>
              <c:numCache>
                <c:formatCode>0.00</c:formatCode>
                <c:ptCount val="4"/>
                <c:pt idx="0">
                  <c:v>187.76</c:v>
                </c:pt>
                <c:pt idx="1">
                  <c:v>37.76</c:v>
                </c:pt>
                <c:pt idx="2">
                  <c:v>187.76</c:v>
                </c:pt>
                <c:pt idx="3">
                  <c:v>187.76</c:v>
                </c:pt>
              </c:numCache>
            </c:numRef>
          </c:xVal>
          <c:yVal>
            <c:numRef>
              <c:f>CLEOv4!$E$157:$E$160</c:f>
              <c:numCache>
                <c:formatCode>0.00</c:formatCode>
                <c:ptCount val="4"/>
                <c:pt idx="0">
                  <c:v>321.0</c:v>
                </c:pt>
                <c:pt idx="1">
                  <c:v>261.0</c:v>
                </c:pt>
                <c:pt idx="2">
                  <c:v>261.0</c:v>
                </c:pt>
                <c:pt idx="3">
                  <c:v>321.0</c:v>
                </c:pt>
              </c:numCache>
            </c:numRef>
          </c:yVal>
          <c:smooth val="0"/>
        </c:ser>
        <c:ser>
          <c:idx val="22"/>
          <c:order val="18"/>
          <c:tx>
            <c:v>Upstream pole tip r8</c:v>
          </c:tx>
          <c:marker>
            <c:symbol val="none"/>
          </c:marker>
          <c:xVal>
            <c:numRef>
              <c:f>CLEOv4!$C$96:$C$105</c:f>
              <c:numCache>
                <c:formatCode>0.00</c:formatCode>
                <c:ptCount val="10"/>
                <c:pt idx="0">
                  <c:v>-175.26</c:v>
                </c:pt>
                <c:pt idx="1">
                  <c:v>-187.76</c:v>
                </c:pt>
                <c:pt idx="2">
                  <c:v>-187.76</c:v>
                </c:pt>
                <c:pt idx="3">
                  <c:v>-200.26</c:v>
                </c:pt>
                <c:pt idx="4">
                  <c:v>-200.26</c:v>
                </c:pt>
                <c:pt idx="5">
                  <c:v>-191.9266666666666</c:v>
                </c:pt>
                <c:pt idx="6">
                  <c:v>-183.5933333333333</c:v>
                </c:pt>
                <c:pt idx="7">
                  <c:v>-183.5933333333333</c:v>
                </c:pt>
                <c:pt idx="8">
                  <c:v>-175.26</c:v>
                </c:pt>
                <c:pt idx="9">
                  <c:v>-175.26</c:v>
                </c:pt>
              </c:numCache>
            </c:numRef>
          </c:xVal>
          <c:yVal>
            <c:numRef>
              <c:f>CLEOv4!$E$96:$E$105</c:f>
              <c:numCache>
                <c:formatCode>0.00</c:formatCode>
                <c:ptCount val="10"/>
                <c:pt idx="0">
                  <c:v>261.0</c:v>
                </c:pt>
                <c:pt idx="1">
                  <c:v>261.0</c:v>
                </c:pt>
                <c:pt idx="2">
                  <c:v>246.0</c:v>
                </c:pt>
                <c:pt idx="3">
                  <c:v>231.0</c:v>
                </c:pt>
                <c:pt idx="4">
                  <c:v>164.5</c:v>
                </c:pt>
                <c:pt idx="5">
                  <c:v>149.0</c:v>
                </c:pt>
                <c:pt idx="6">
                  <c:v>149.0</c:v>
                </c:pt>
                <c:pt idx="7">
                  <c:v>164.5</c:v>
                </c:pt>
                <c:pt idx="8">
                  <c:v>180.0</c:v>
                </c:pt>
                <c:pt idx="9">
                  <c:v>261.0</c:v>
                </c:pt>
              </c:numCache>
            </c:numRef>
          </c:yVal>
          <c:smooth val="0"/>
        </c:ser>
        <c:ser>
          <c:idx val="24"/>
          <c:order val="19"/>
          <c:tx>
            <c:v>upstream top</c:v>
          </c:tx>
          <c:marker>
            <c:symbol val="none"/>
          </c:marker>
          <c:xVal>
            <c:numRef>
              <c:f>CLEOv4!$C$164:$C$168</c:f>
              <c:numCache>
                <c:formatCode>0.00</c:formatCode>
                <c:ptCount val="5"/>
                <c:pt idx="0">
                  <c:v>-244.26</c:v>
                </c:pt>
                <c:pt idx="1">
                  <c:v>-204.26</c:v>
                </c:pt>
                <c:pt idx="2">
                  <c:v>-134.26</c:v>
                </c:pt>
                <c:pt idx="3">
                  <c:v>-94.26</c:v>
                </c:pt>
                <c:pt idx="4">
                  <c:v>-244.26</c:v>
                </c:pt>
              </c:numCache>
            </c:numRef>
          </c:xVal>
          <c:yVal>
            <c:numRef>
              <c:f>CLEOv4!$E$164:$E$168</c:f>
              <c:numCache>
                <c:formatCode>0.00</c:formatCode>
                <c:ptCount val="5"/>
                <c:pt idx="0">
                  <c:v>261.0</c:v>
                </c:pt>
                <c:pt idx="1">
                  <c:v>286.0</c:v>
                </c:pt>
                <c:pt idx="2">
                  <c:v>286.0</c:v>
                </c:pt>
                <c:pt idx="3">
                  <c:v>261.0</c:v>
                </c:pt>
                <c:pt idx="4">
                  <c:v>261.0</c:v>
                </c:pt>
              </c:numCache>
            </c:numRef>
          </c:yVal>
          <c:smooth val="0"/>
        </c:ser>
        <c:ser>
          <c:idx val="11"/>
          <c:order val="20"/>
          <c:tx>
            <c:v>Cherenkov Shield</c:v>
          </c:tx>
          <c:marker>
            <c:symbol val="none"/>
          </c:marker>
          <c:xVal>
            <c:numRef>
              <c:f>CLEOv4!$C$172:$C$175</c:f>
              <c:numCache>
                <c:formatCode>0.00</c:formatCode>
                <c:ptCount val="4"/>
                <c:pt idx="0">
                  <c:v>240.0</c:v>
                </c:pt>
                <c:pt idx="1">
                  <c:v>260.0</c:v>
                </c:pt>
                <c:pt idx="2">
                  <c:v>300.0</c:v>
                </c:pt>
                <c:pt idx="3">
                  <c:v>240.0</c:v>
                </c:pt>
              </c:numCache>
            </c:numRef>
          </c:xVal>
          <c:yVal>
            <c:numRef>
              <c:f>CLEOv4!$E$172:$E$175</c:f>
              <c:numCache>
                <c:formatCode>0.00</c:formatCode>
                <c:ptCount val="4"/>
                <c:pt idx="0">
                  <c:v>281.0</c:v>
                </c:pt>
                <c:pt idx="1">
                  <c:v>226.0</c:v>
                </c:pt>
                <c:pt idx="2">
                  <c:v>281.0</c:v>
                </c:pt>
                <c:pt idx="3">
                  <c:v>281.0</c:v>
                </c:pt>
              </c:numCache>
            </c:numRef>
          </c:yVal>
          <c:smooth val="0"/>
        </c:ser>
        <c:ser>
          <c:idx val="12"/>
          <c:order val="21"/>
          <c:tx>
            <c:v>Cherenkov Shield 2</c:v>
          </c:tx>
          <c:marker>
            <c:symbol val="none"/>
          </c:marker>
          <c:xVal>
            <c:numRef>
              <c:f>CLEOv4!$C$179:$C$184</c:f>
              <c:numCache>
                <c:formatCode>0.00</c:formatCode>
                <c:ptCount val="6"/>
                <c:pt idx="0">
                  <c:v>240.0</c:v>
                </c:pt>
                <c:pt idx="1">
                  <c:v>187.76</c:v>
                </c:pt>
                <c:pt idx="2">
                  <c:v>187.76</c:v>
                </c:pt>
                <c:pt idx="3">
                  <c:v>200.26</c:v>
                </c:pt>
                <c:pt idx="4">
                  <c:v>250.0</c:v>
                </c:pt>
                <c:pt idx="5">
                  <c:v>240.0</c:v>
                </c:pt>
              </c:numCache>
            </c:numRef>
          </c:xVal>
          <c:yVal>
            <c:numRef>
              <c:f>CLEOv4!$E$179:$E$184</c:f>
              <c:numCache>
                <c:formatCode>0.00</c:formatCode>
                <c:ptCount val="6"/>
                <c:pt idx="0">
                  <c:v>281.0</c:v>
                </c:pt>
                <c:pt idx="1">
                  <c:v>281.0</c:v>
                </c:pt>
                <c:pt idx="2">
                  <c:v>246.0</c:v>
                </c:pt>
                <c:pt idx="3">
                  <c:v>231.0</c:v>
                </c:pt>
                <c:pt idx="4">
                  <c:v>253.5</c:v>
                </c:pt>
                <c:pt idx="5">
                  <c:v>281.0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92216"/>
        <c:axId val="230495112"/>
      </c:scatterChart>
      <c:valAx>
        <c:axId val="230492216"/>
        <c:scaling>
          <c:orientation val="minMax"/>
          <c:max val="500.0"/>
          <c:min val="-250.0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230495112"/>
        <c:crosses val="autoZero"/>
        <c:crossBetween val="midCat"/>
      </c:valAx>
      <c:valAx>
        <c:axId val="230495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0492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BabarV3!$B$134:$B$143</c:f>
              <c:numCache>
                <c:formatCode>General</c:formatCode>
                <c:ptCount val="10"/>
                <c:pt idx="0">
                  <c:v>380.0</c:v>
                </c:pt>
                <c:pt idx="1">
                  <c:v>400.0</c:v>
                </c:pt>
                <c:pt idx="2">
                  <c:v>420.0</c:v>
                </c:pt>
                <c:pt idx="3">
                  <c:v>420.0</c:v>
                </c:pt>
                <c:pt idx="4">
                  <c:v>380.0</c:v>
                </c:pt>
                <c:pt idx="5">
                  <c:v>290.0</c:v>
                </c:pt>
                <c:pt idx="6">
                  <c:v>200.0</c:v>
                </c:pt>
                <c:pt idx="7">
                  <c:v>200.0</c:v>
                </c:pt>
                <c:pt idx="8">
                  <c:v>380.0</c:v>
                </c:pt>
                <c:pt idx="9">
                  <c:v>380.0</c:v>
                </c:pt>
              </c:numCache>
            </c:numRef>
          </c:xVal>
          <c:yVal>
            <c:numRef>
              <c:f>BabarV3!$D$134:$D$143</c:f>
              <c:numCache>
                <c:formatCode>General</c:formatCode>
                <c:ptCount val="10"/>
                <c:pt idx="0">
                  <c:v>290.0</c:v>
                </c:pt>
                <c:pt idx="1">
                  <c:v>290.0</c:v>
                </c:pt>
                <c:pt idx="2">
                  <c:v>120.0</c:v>
                </c:pt>
                <c:pt idx="3">
                  <c:v>70.0</c:v>
                </c:pt>
                <c:pt idx="4">
                  <c:v>30.0</c:v>
                </c:pt>
                <c:pt idx="5">
                  <c:v>30.0</c:v>
                </c:pt>
                <c:pt idx="6">
                  <c:v>22.0</c:v>
                </c:pt>
                <c:pt idx="7">
                  <c:v>58.0</c:v>
                </c:pt>
                <c:pt idx="8">
                  <c:v>128.0</c:v>
                </c:pt>
                <c:pt idx="9">
                  <c:v>290.0</c:v>
                </c:pt>
              </c:numCache>
            </c:numRef>
          </c:yVal>
          <c:smooth val="0"/>
        </c:ser>
        <c:ser>
          <c:idx val="1"/>
          <c:order val="1"/>
          <c:tx>
            <c:v>upstream</c:v>
          </c:tx>
          <c:marker>
            <c:symbol val="none"/>
          </c:marker>
          <c:xVal>
            <c:numRef>
              <c:f>BabarV3!$B$146:$B$157</c:f>
              <c:numCache>
                <c:formatCode>General</c:formatCode>
                <c:ptCount val="12"/>
                <c:pt idx="0">
                  <c:v>-192.5</c:v>
                </c:pt>
                <c:pt idx="1">
                  <c:v>-222.0</c:v>
                </c:pt>
                <c:pt idx="2">
                  <c:v>-222.0</c:v>
                </c:pt>
                <c:pt idx="3">
                  <c:v>-207.0</c:v>
                </c:pt>
                <c:pt idx="4">
                  <c:v>-207.0</c:v>
                </c:pt>
                <c:pt idx="5">
                  <c:v>-222.0</c:v>
                </c:pt>
                <c:pt idx="6">
                  <c:v>-222.0</c:v>
                </c:pt>
                <c:pt idx="7">
                  <c:v>-207.0</c:v>
                </c:pt>
                <c:pt idx="8">
                  <c:v>-197.5</c:v>
                </c:pt>
                <c:pt idx="9">
                  <c:v>-197.5</c:v>
                </c:pt>
                <c:pt idx="10">
                  <c:v>-192.5</c:v>
                </c:pt>
                <c:pt idx="11">
                  <c:v>-192.5</c:v>
                </c:pt>
              </c:numCache>
            </c:numRef>
          </c:xVal>
          <c:yVal>
            <c:numRef>
              <c:f>BabarV3!$D$146:$D$157</c:f>
              <c:numCache>
                <c:formatCode>General</c:formatCode>
                <c:ptCount val="12"/>
                <c:pt idx="0">
                  <c:v>290.0</c:v>
                </c:pt>
                <c:pt idx="1">
                  <c:v>290.0</c:v>
                </c:pt>
                <c:pt idx="2">
                  <c:v>265.0</c:v>
                </c:pt>
                <c:pt idx="3">
                  <c:v>257.0</c:v>
                </c:pt>
                <c:pt idx="4">
                  <c:v>240.0</c:v>
                </c:pt>
                <c:pt idx="5">
                  <c:v>188.0</c:v>
                </c:pt>
                <c:pt idx="6">
                  <c:v>166.0</c:v>
                </c:pt>
                <c:pt idx="7">
                  <c:v>152.0</c:v>
                </c:pt>
                <c:pt idx="8">
                  <c:v>152.0</c:v>
                </c:pt>
                <c:pt idx="9">
                  <c:v>188.0</c:v>
                </c:pt>
                <c:pt idx="10">
                  <c:v>210.0</c:v>
                </c:pt>
                <c:pt idx="11">
                  <c:v>290.0</c:v>
                </c:pt>
              </c:numCache>
            </c:numRef>
          </c:yVal>
          <c:smooth val="0"/>
        </c:ser>
        <c:ser>
          <c:idx val="2"/>
          <c:order val="2"/>
          <c:tx>
            <c:v>upstream endcap</c:v>
          </c:tx>
          <c:marker>
            <c:symbol val="none"/>
          </c:marker>
          <c:xVal>
            <c:numRef>
              <c:f>BabarV3!$B$160:$B$166</c:f>
              <c:numCache>
                <c:formatCode>General</c:formatCode>
                <c:ptCount val="7"/>
                <c:pt idx="0">
                  <c:v>-222.0</c:v>
                </c:pt>
                <c:pt idx="1">
                  <c:v>-222.0</c:v>
                </c:pt>
                <c:pt idx="2">
                  <c:v>-226.5</c:v>
                </c:pt>
                <c:pt idx="3">
                  <c:v>-226.5</c:v>
                </c:pt>
                <c:pt idx="4">
                  <c:v>-262.5</c:v>
                </c:pt>
                <c:pt idx="5">
                  <c:v>-262.5</c:v>
                </c:pt>
                <c:pt idx="6">
                  <c:v>-222.0</c:v>
                </c:pt>
              </c:numCache>
            </c:numRef>
          </c:xVal>
          <c:yVal>
            <c:numRef>
              <c:f>BabarV3!$D$160:$D$166</c:f>
              <c:numCache>
                <c:formatCode>General</c:formatCode>
                <c:ptCount val="7"/>
                <c:pt idx="0">
                  <c:v>290.0</c:v>
                </c:pt>
                <c:pt idx="1">
                  <c:v>265.0</c:v>
                </c:pt>
                <c:pt idx="2">
                  <c:v>265.0</c:v>
                </c:pt>
                <c:pt idx="3">
                  <c:v>45.0</c:v>
                </c:pt>
                <c:pt idx="4">
                  <c:v>35.0</c:v>
                </c:pt>
                <c:pt idx="5">
                  <c:v>290.0</c:v>
                </c:pt>
                <c:pt idx="6">
                  <c:v>290.0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92232"/>
        <c:axId val="712995272"/>
      </c:scatterChart>
      <c:valAx>
        <c:axId val="712992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995272"/>
        <c:crosses val="autoZero"/>
        <c:crossBetween val="midCat"/>
      </c:valAx>
      <c:valAx>
        <c:axId val="712995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29922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73668173135163"/>
          <c:y val="0.0170940170940171"/>
          <c:w val="0.784414480734287"/>
          <c:h val="0.890750386970859"/>
        </c:manualLayout>
      </c:layout>
      <c:scatterChart>
        <c:scatterStyle val="lineMarker"/>
        <c:varyColors val="0"/>
        <c:ser>
          <c:idx val="0"/>
          <c:order val="0"/>
          <c:tx>
            <c:v>Upstream pole 8</c:v>
          </c:tx>
          <c:marker>
            <c:symbol val="none"/>
          </c:marker>
          <c:xVal>
            <c:numRef>
              <c:f>Solcust!$C$119:$C$124</c:f>
              <c:numCache>
                <c:formatCode>0.00</c:formatCode>
                <c:ptCount val="6"/>
                <c:pt idx="0">
                  <c:v>-186.0</c:v>
                </c:pt>
                <c:pt idx="1">
                  <c:v>-174.3</c:v>
                </c:pt>
                <c:pt idx="2">
                  <c:v>-146.0</c:v>
                </c:pt>
                <c:pt idx="3">
                  <c:v>-146.0</c:v>
                </c:pt>
                <c:pt idx="4">
                  <c:v>-186.0</c:v>
                </c:pt>
                <c:pt idx="5">
                  <c:v>-186.0</c:v>
                </c:pt>
              </c:numCache>
            </c:numRef>
          </c:xVal>
          <c:yVal>
            <c:numRef>
              <c:f>Solcust!$E$119:$E$124</c:f>
              <c:numCache>
                <c:formatCode>0.00</c:formatCode>
                <c:ptCount val="6"/>
                <c:pt idx="0">
                  <c:v>17.0</c:v>
                </c:pt>
                <c:pt idx="1">
                  <c:v>17.0</c:v>
                </c:pt>
                <c:pt idx="2">
                  <c:v>27.0</c:v>
                </c:pt>
                <c:pt idx="3">
                  <c:v>50.0</c:v>
                </c:pt>
                <c:pt idx="4">
                  <c:v>50.0</c:v>
                </c:pt>
                <c:pt idx="5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v>Yoke end peices 7</c:v>
          </c:tx>
          <c:marker>
            <c:symbol val="none"/>
          </c:marker>
          <c:xVal>
            <c:numRef>
              <c:f>Solcust!$C$88:$C$92</c:f>
              <c:numCache>
                <c:formatCode>0.00</c:formatCode>
                <c:ptCount val="5"/>
                <c:pt idx="0">
                  <c:v>-146.0</c:v>
                </c:pt>
                <c:pt idx="1">
                  <c:v>-186.0</c:v>
                </c:pt>
                <c:pt idx="2">
                  <c:v>-186.0</c:v>
                </c:pt>
                <c:pt idx="3">
                  <c:v>-146.0</c:v>
                </c:pt>
                <c:pt idx="4">
                  <c:v>-146.0</c:v>
                </c:pt>
              </c:numCache>
            </c:numRef>
          </c:xVal>
          <c:yVal>
            <c:numRef>
              <c:f>Solcust!$E$88:$E$92</c:f>
              <c:numCache>
                <c:formatCode>0.00</c:formatCode>
                <c:ptCount val="5"/>
                <c:pt idx="0">
                  <c:v>200.0</c:v>
                </c:pt>
                <c:pt idx="1">
                  <c:v>200.0</c:v>
                </c:pt>
                <c:pt idx="2">
                  <c:v>50.0</c:v>
                </c:pt>
                <c:pt idx="3">
                  <c:v>50.0</c:v>
                </c:pt>
                <c:pt idx="4">
                  <c:v>200.0</c:v>
                </c:pt>
              </c:numCache>
            </c:numRef>
          </c:yVal>
          <c:smooth val="0"/>
        </c:ser>
        <c:ser>
          <c:idx val="2"/>
          <c:order val="2"/>
          <c:tx>
            <c:v>Return Yoke 6</c:v>
          </c:tx>
          <c:marker>
            <c:symbol val="none"/>
          </c:marker>
          <c:xVal>
            <c:numRef>
              <c:f>Solcust!$C$79:$C$83</c:f>
              <c:numCache>
                <c:formatCode>0.00</c:formatCode>
                <c:ptCount val="5"/>
                <c:pt idx="0">
                  <c:v>-116.0</c:v>
                </c:pt>
                <c:pt idx="1">
                  <c:v>116.0</c:v>
                </c:pt>
                <c:pt idx="2">
                  <c:v>116.0</c:v>
                </c:pt>
                <c:pt idx="3">
                  <c:v>-116.0</c:v>
                </c:pt>
                <c:pt idx="4">
                  <c:v>-116.0</c:v>
                </c:pt>
              </c:numCache>
            </c:numRef>
          </c:xVal>
          <c:yVal>
            <c:numRef>
              <c:f>Solcust!$E$79:$E$83</c:f>
              <c:numCache>
                <c:formatCode>0.00</c:formatCode>
                <c:ptCount val="5"/>
                <c:pt idx="0">
                  <c:v>110.0</c:v>
                </c:pt>
                <c:pt idx="1">
                  <c:v>110.0</c:v>
                </c:pt>
                <c:pt idx="2">
                  <c:v>165.0</c:v>
                </c:pt>
                <c:pt idx="3">
                  <c:v>165.0</c:v>
                </c:pt>
                <c:pt idx="4">
                  <c:v>110.0</c:v>
                </c:pt>
              </c:numCache>
            </c:numRef>
          </c:yVal>
          <c:smooth val="0"/>
        </c:ser>
        <c:ser>
          <c:idx val="3"/>
          <c:order val="3"/>
          <c:tx>
            <c:v>return yoke region 5</c:v>
          </c:tx>
          <c:marker>
            <c:symbol val="none"/>
          </c:marker>
          <c:xVal>
            <c:numRef>
              <c:f>Solcust!$C$71:$C$75</c:f>
              <c:numCache>
                <c:formatCode>0.00</c:formatCode>
                <c:ptCount val="5"/>
                <c:pt idx="0">
                  <c:v>-116.0</c:v>
                </c:pt>
                <c:pt idx="1">
                  <c:v>116.0</c:v>
                </c:pt>
                <c:pt idx="2">
                  <c:v>116.0</c:v>
                </c:pt>
                <c:pt idx="3">
                  <c:v>-116.0</c:v>
                </c:pt>
                <c:pt idx="4">
                  <c:v>-116.0</c:v>
                </c:pt>
              </c:numCache>
            </c:numRef>
          </c:xVal>
          <c:yVal>
            <c:numRef>
              <c:f>Solcust!$E$71:$E$75</c:f>
              <c:numCache>
                <c:formatCode>0.00</c:formatCode>
                <c:ptCount val="5"/>
                <c:pt idx="0">
                  <c:v>164.0</c:v>
                </c:pt>
                <c:pt idx="1">
                  <c:v>164.0</c:v>
                </c:pt>
                <c:pt idx="2">
                  <c:v>200.0</c:v>
                </c:pt>
                <c:pt idx="3">
                  <c:v>200.0</c:v>
                </c:pt>
                <c:pt idx="4">
                  <c:v>164.0</c:v>
                </c:pt>
              </c:numCache>
            </c:numRef>
          </c:yVal>
          <c:smooth val="0"/>
        </c:ser>
        <c:ser>
          <c:idx val="4"/>
          <c:order val="4"/>
          <c:tx>
            <c:v>Upstream coil 2</c:v>
          </c:tx>
          <c:marker>
            <c:symbol val="none"/>
          </c:marker>
          <c:xVal>
            <c:numRef>
              <c:f>Solcust!$C$47:$C$51</c:f>
              <c:numCache>
                <c:formatCode>0.00</c:formatCode>
                <c:ptCount val="5"/>
                <c:pt idx="0">
                  <c:v>-115.0</c:v>
                </c:pt>
                <c:pt idx="1">
                  <c:v>-57.5</c:v>
                </c:pt>
                <c:pt idx="2">
                  <c:v>-57.5</c:v>
                </c:pt>
                <c:pt idx="3">
                  <c:v>-115.0</c:v>
                </c:pt>
                <c:pt idx="4">
                  <c:v>-115.0</c:v>
                </c:pt>
              </c:numCache>
            </c:numRef>
          </c:xVal>
          <c:yVal>
            <c:numRef>
              <c:f>Solcust!$E$47:$E$51</c:f>
              <c:numCache>
                <c:formatCode>0.00</c:formatCode>
                <c:ptCount val="5"/>
                <c:pt idx="0" formatCode="General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5"/>
          <c:order val="5"/>
          <c:tx>
            <c:v>Central coil 3</c:v>
          </c:tx>
          <c:marker>
            <c:symbol val="none"/>
          </c:marker>
          <c:xVal>
            <c:numRef>
              <c:f>Solcust!$C$55:$C$59</c:f>
              <c:numCache>
                <c:formatCode>0.00</c:formatCode>
                <c:ptCount val="5"/>
                <c:pt idx="0">
                  <c:v>-57.5</c:v>
                </c:pt>
                <c:pt idx="1">
                  <c:v>57.5</c:v>
                </c:pt>
                <c:pt idx="2">
                  <c:v>57.5</c:v>
                </c:pt>
                <c:pt idx="3">
                  <c:v>-57.5</c:v>
                </c:pt>
                <c:pt idx="4">
                  <c:v>-57.5</c:v>
                </c:pt>
              </c:numCache>
            </c:numRef>
          </c:xVal>
          <c:yVal>
            <c:numRef>
              <c:f>Solcust!$E$55:$E$59</c:f>
              <c:numCache>
                <c:formatCode>0.00</c:formatCode>
                <c:ptCount val="5"/>
                <c:pt idx="0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6"/>
          <c:order val="6"/>
          <c:tx>
            <c:v>Downstream coil 4</c:v>
          </c:tx>
          <c:marker>
            <c:symbol val="none"/>
          </c:marker>
          <c:xVal>
            <c:numRef>
              <c:f>Solcust!$C$63:$C$67</c:f>
              <c:numCache>
                <c:formatCode>0.00</c:formatCode>
                <c:ptCount val="5"/>
                <c:pt idx="0">
                  <c:v>115.0</c:v>
                </c:pt>
                <c:pt idx="1">
                  <c:v>57.5</c:v>
                </c:pt>
                <c:pt idx="2">
                  <c:v>57.5</c:v>
                </c:pt>
                <c:pt idx="3">
                  <c:v>115.0</c:v>
                </c:pt>
                <c:pt idx="4">
                  <c:v>115.0</c:v>
                </c:pt>
              </c:numCache>
            </c:numRef>
          </c:xVal>
          <c:yVal>
            <c:numRef>
              <c:f>Solcust!$E$63:$E$67</c:f>
              <c:numCache>
                <c:formatCode>0.00</c:formatCode>
                <c:ptCount val="5"/>
                <c:pt idx="0">
                  <c:v>105.0</c:v>
                </c:pt>
                <c:pt idx="1">
                  <c:v>105.0</c:v>
                </c:pt>
                <c:pt idx="2">
                  <c:v>100.0</c:v>
                </c:pt>
                <c:pt idx="3">
                  <c:v>100.0</c:v>
                </c:pt>
                <c:pt idx="4">
                  <c:v>105.0</c:v>
                </c:pt>
              </c:numCache>
            </c:numRef>
          </c:yVal>
          <c:smooth val="0"/>
        </c:ser>
        <c:ser>
          <c:idx val="7"/>
          <c:order val="7"/>
          <c:tx>
            <c:v>Downstream front 10</c:v>
          </c:tx>
          <c:marker>
            <c:symbol val="none"/>
          </c:marker>
          <c:xVal>
            <c:numRef>
              <c:f>Solcust!$C$137:$C$148</c:f>
              <c:numCache>
                <c:formatCode>0.00</c:formatCode>
                <c:ptCount val="12"/>
                <c:pt idx="0">
                  <c:v>116.0</c:v>
                </c:pt>
                <c:pt idx="1">
                  <c:v>141.0</c:v>
                </c:pt>
                <c:pt idx="2">
                  <c:v>141.0</c:v>
                </c:pt>
                <c:pt idx="3">
                  <c:v>128.5</c:v>
                </c:pt>
                <c:pt idx="4">
                  <c:v>128.5</c:v>
                </c:pt>
                <c:pt idx="5">
                  <c:v>141.0</c:v>
                </c:pt>
                <c:pt idx="6">
                  <c:v>141.0</c:v>
                </c:pt>
                <c:pt idx="7">
                  <c:v>132.6666666666667</c:v>
                </c:pt>
                <c:pt idx="8">
                  <c:v>124.3333333333333</c:v>
                </c:pt>
                <c:pt idx="9">
                  <c:v>124.3333333333333</c:v>
                </c:pt>
                <c:pt idx="10">
                  <c:v>116.0</c:v>
                </c:pt>
                <c:pt idx="11">
                  <c:v>116.0</c:v>
                </c:pt>
              </c:numCache>
            </c:numRef>
          </c:xVal>
          <c:yVal>
            <c:numRef>
              <c:f>Solcust!$E$137:$E$148</c:f>
              <c:numCache>
                <c:formatCode>0.00</c:formatCode>
                <c:ptCount val="12"/>
                <c:pt idx="0">
                  <c:v>200.0</c:v>
                </c:pt>
                <c:pt idx="1">
                  <c:v>200.0</c:v>
                </c:pt>
                <c:pt idx="2">
                  <c:v>193.0</c:v>
                </c:pt>
                <c:pt idx="3">
                  <c:v>178.0</c:v>
                </c:pt>
                <c:pt idx="4">
                  <c:v>163.0</c:v>
                </c:pt>
                <c:pt idx="5">
                  <c:v>148.0</c:v>
                </c:pt>
                <c:pt idx="6">
                  <c:v>102.5</c:v>
                </c:pt>
                <c:pt idx="7">
                  <c:v>95.0</c:v>
                </c:pt>
                <c:pt idx="8">
                  <c:v>95.0</c:v>
                </c:pt>
                <c:pt idx="9">
                  <c:v>102.5</c:v>
                </c:pt>
                <c:pt idx="10">
                  <c:v>110.0</c:v>
                </c:pt>
                <c:pt idx="11">
                  <c:v>200.0</c:v>
                </c:pt>
              </c:numCache>
            </c:numRef>
          </c:yVal>
          <c:smooth val="0"/>
        </c:ser>
        <c:ser>
          <c:idx val="8"/>
          <c:order val="8"/>
          <c:tx>
            <c:v>downstream top 11</c:v>
          </c:tx>
          <c:marker>
            <c:symbol val="none"/>
          </c:marker>
          <c:xVal>
            <c:numRef>
              <c:f>Solcust!$C$152:$C$156</c:f>
              <c:numCache>
                <c:formatCode>0.00</c:formatCode>
                <c:ptCount val="5"/>
                <c:pt idx="0">
                  <c:v>141.0</c:v>
                </c:pt>
                <c:pt idx="1">
                  <c:v>296.0</c:v>
                </c:pt>
                <c:pt idx="2">
                  <c:v>296.0</c:v>
                </c:pt>
                <c:pt idx="3">
                  <c:v>141.0</c:v>
                </c:pt>
                <c:pt idx="4">
                  <c:v>141.0</c:v>
                </c:pt>
              </c:numCache>
            </c:numRef>
          </c:xVal>
          <c:yVal>
            <c:numRef>
              <c:f>Solcust!$E$152:$E$156</c:f>
              <c:numCache>
                <c:formatCode>0.00</c:formatCode>
                <c:ptCount val="5"/>
                <c:pt idx="0">
                  <c:v>233.0</c:v>
                </c:pt>
                <c:pt idx="1">
                  <c:v>233.0</c:v>
                </c:pt>
                <c:pt idx="2">
                  <c:v>193.0</c:v>
                </c:pt>
                <c:pt idx="3">
                  <c:v>193.0</c:v>
                </c:pt>
                <c:pt idx="4">
                  <c:v>233.0</c:v>
                </c:pt>
              </c:numCache>
            </c:numRef>
          </c:yVal>
          <c:smooth val="0"/>
        </c:ser>
        <c:ser>
          <c:idx val="9"/>
          <c:order val="9"/>
          <c:tx>
            <c:v>nosecone 9</c:v>
          </c:tx>
          <c:marker>
            <c:symbol val="none"/>
          </c:marker>
          <c:xVal>
            <c:numRef>
              <c:f>Solcust!$C$128:$C$133</c:f>
              <c:numCache>
                <c:formatCode>0.00</c:formatCode>
                <c:ptCount val="6"/>
                <c:pt idx="0">
                  <c:v>96.0</c:v>
                </c:pt>
                <c:pt idx="1">
                  <c:v>296.0</c:v>
                </c:pt>
                <c:pt idx="2">
                  <c:v>296.0</c:v>
                </c:pt>
                <c:pt idx="3">
                  <c:v>261.0</c:v>
                </c:pt>
                <c:pt idx="4">
                  <c:v>96.0</c:v>
                </c:pt>
                <c:pt idx="5">
                  <c:v>96.0</c:v>
                </c:pt>
              </c:numCache>
            </c:numRef>
          </c:xVal>
          <c:yVal>
            <c:numRef>
              <c:f>Solcust!$E$128:$E$133</c:f>
              <c:numCache>
                <c:formatCode>0.00</c:formatCode>
                <c:ptCount val="6"/>
                <c:pt idx="0">
                  <c:v>15.0</c:v>
                </c:pt>
                <c:pt idx="1">
                  <c:v>15.0</c:v>
                </c:pt>
                <c:pt idx="2">
                  <c:v>56.60199646160039</c:v>
                </c:pt>
                <c:pt idx="3">
                  <c:v>56.60199646160039</c:v>
                </c:pt>
                <c:pt idx="4">
                  <c:v>29.34922684189028</c:v>
                </c:pt>
                <c:pt idx="5">
                  <c:v>15.0</c:v>
                </c:pt>
              </c:numCache>
            </c:numRef>
          </c:yVal>
          <c:smooth val="0"/>
        </c:ser>
        <c:ser>
          <c:idx val="10"/>
          <c:order val="10"/>
          <c:tx>
            <c:v>calo 12</c:v>
          </c:tx>
          <c:marker>
            <c:symbol val="none"/>
          </c:marker>
          <c:xVal>
            <c:numRef>
              <c:f>Solcust!$C$160:$C$164</c:f>
              <c:numCache>
                <c:formatCode>0.00</c:formatCode>
                <c:ptCount val="5"/>
                <c:pt idx="0">
                  <c:v>261.0</c:v>
                </c:pt>
                <c:pt idx="1">
                  <c:v>296.0</c:v>
                </c:pt>
                <c:pt idx="2">
                  <c:v>296.0</c:v>
                </c:pt>
                <c:pt idx="3">
                  <c:v>261.0</c:v>
                </c:pt>
                <c:pt idx="4">
                  <c:v>261.0</c:v>
                </c:pt>
              </c:numCache>
            </c:numRef>
          </c:xVal>
          <c:yVal>
            <c:numRef>
              <c:f>Solcust!$E$160:$E$164</c:f>
              <c:numCache>
                <c:formatCode>0.00</c:formatCode>
                <c:ptCount val="5"/>
                <c:pt idx="0">
                  <c:v>56.60199646160039</c:v>
                </c:pt>
                <c:pt idx="1">
                  <c:v>56.60199646160039</c:v>
                </c:pt>
                <c:pt idx="2">
                  <c:v>193.0</c:v>
                </c:pt>
                <c:pt idx="3">
                  <c:v>193.0</c:v>
                </c:pt>
                <c:pt idx="4">
                  <c:v>56.60199646160039</c:v>
                </c:pt>
              </c:numCache>
            </c:numRef>
          </c:yVal>
          <c:smooth val="0"/>
        </c:ser>
        <c:ser>
          <c:idx val="11"/>
          <c:order val="11"/>
          <c:tx>
            <c:v>calo 13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2"/>
          <c:order val="12"/>
          <c:tx>
            <c:v>calo 14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3"/>
          <c:order val="13"/>
          <c:tx>
            <c:v>calo 15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4"/>
          <c:order val="14"/>
          <c:tx>
            <c:v>calo16</c:v>
          </c:tx>
          <c:marker>
            <c:symbol val="none"/>
          </c:marker>
          <c:xVal>
            <c:numRef>
              <c:f>Solcust!#REF!</c:f>
            </c:numRef>
          </c:xVal>
          <c:yVal>
            <c:numRef>
              <c:f>Solcust!#REF!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ser>
          <c:idx val="15"/>
          <c:order val="15"/>
          <c:tx>
            <c:v>sidis high 1</c:v>
          </c:tx>
          <c:marker>
            <c:symbol val="none"/>
          </c:marker>
          <c:xVal>
            <c:numRef>
              <c:f>Solcust!$K$3:$K$4</c:f>
              <c:numCache>
                <c:formatCode>General</c:formatCode>
                <c:ptCount val="2"/>
                <c:pt idx="0">
                  <c:v>-200.0</c:v>
                </c:pt>
                <c:pt idx="1">
                  <c:v>189.7480431586685</c:v>
                </c:pt>
              </c:numCache>
            </c:numRef>
          </c:xVal>
          <c:yVal>
            <c:numRef>
              <c:f>Solcust!$L$3:$L$4</c:f>
              <c:numCache>
                <c:formatCode>General</c:formatCode>
                <c:ptCount val="2"/>
                <c:pt idx="0">
                  <c:v>0.0</c:v>
                </c:pt>
                <c:pt idx="1">
                  <c:v>89.98034704305553</c:v>
                </c:pt>
              </c:numCache>
            </c:numRef>
          </c:yVal>
          <c:smooth val="0"/>
        </c:ser>
        <c:ser>
          <c:idx val="16"/>
          <c:order val="16"/>
          <c:tx>
            <c:v>sidis hi 2</c:v>
          </c:tx>
          <c:marker>
            <c:symbol val="none"/>
          </c:marker>
          <c:xVal>
            <c:numRef>
              <c:f>Solcust!$K$5:$K$6</c:f>
              <c:numCache>
                <c:formatCode>General</c:formatCode>
                <c:ptCount val="2"/>
                <c:pt idx="0">
                  <c:v>-200.0</c:v>
                </c:pt>
                <c:pt idx="1">
                  <c:v>170.8735904248046</c:v>
                </c:pt>
              </c:numCache>
            </c:numRef>
          </c:xVal>
          <c:yVal>
            <c:numRef>
              <c:f>Solcust!$L$5:$L$6</c:f>
              <c:numCache>
                <c:formatCode>General</c:formatCode>
                <c:ptCount val="2"/>
                <c:pt idx="0">
                  <c:v>0.0</c:v>
                </c:pt>
                <c:pt idx="1">
                  <c:v>149.8425170818159</c:v>
                </c:pt>
              </c:numCache>
            </c:numRef>
          </c:yVal>
          <c:smooth val="0"/>
        </c:ser>
        <c:ser>
          <c:idx val="17"/>
          <c:order val="17"/>
          <c:tx>
            <c:v>sidis low 1</c:v>
          </c:tx>
          <c:marker>
            <c:symbol val="none"/>
          </c:marker>
          <c:xVal>
            <c:numRef>
              <c:f>Solcust!$K$7:$K$8</c:f>
              <c:numCache>
                <c:formatCode>General</c:formatCode>
                <c:ptCount val="2"/>
                <c:pt idx="0">
                  <c:v>-200.0</c:v>
                </c:pt>
                <c:pt idx="1">
                  <c:v>197.0184656870572</c:v>
                </c:pt>
              </c:numCache>
            </c:numRef>
          </c:xVal>
          <c:yVal>
            <c:numRef>
              <c:f>Solcust!$L$7:$L$8</c:f>
              <c:numCache>
                <c:formatCode>General</c:formatCode>
                <c:ptCount val="2"/>
                <c:pt idx="0">
                  <c:v>0.0</c:v>
                </c:pt>
                <c:pt idx="1">
                  <c:v>48.7476963916757</c:v>
                </c:pt>
              </c:numCache>
            </c:numRef>
          </c:yVal>
          <c:smooth val="0"/>
        </c:ser>
        <c:ser>
          <c:idx val="18"/>
          <c:order val="18"/>
          <c:tx>
            <c:v>sidis low 2</c:v>
          </c:tx>
          <c:marker>
            <c:symbol val="none"/>
          </c:marker>
          <c:xVal>
            <c:numRef>
              <c:f>Solcust!$K$9:$K$10</c:f>
              <c:numCache>
                <c:formatCode>General</c:formatCode>
                <c:ptCount val="2"/>
                <c:pt idx="0">
                  <c:v>-200.0</c:v>
                </c:pt>
                <c:pt idx="1">
                  <c:v>289.0738187573065</c:v>
                </c:pt>
              </c:numCache>
            </c:numRef>
          </c:xVal>
          <c:yVal>
            <c:numRef>
              <c:f>Solcust!$L$9:$L$10</c:f>
              <c:numCache>
                <c:formatCode>General</c:formatCode>
                <c:ptCount val="2"/>
                <c:pt idx="0">
                  <c:v>0.0</c:v>
                </c:pt>
                <c:pt idx="1">
                  <c:v>103.955758888795</c:v>
                </c:pt>
              </c:numCache>
            </c:numRef>
          </c:yVal>
          <c:smooth val="0"/>
        </c:ser>
        <c:ser>
          <c:idx val="19"/>
          <c:order val="19"/>
          <c:tx>
            <c:v> pvdis 1</c:v>
          </c:tx>
          <c:marker>
            <c:symbol val="none"/>
          </c:marker>
          <c:xVal>
            <c:numRef>
              <c:f>Solcust!$K$11:$K$12</c:f>
              <c:numCache>
                <c:formatCode>General</c:formatCode>
                <c:ptCount val="2"/>
                <c:pt idx="0">
                  <c:v>0.0</c:v>
                </c:pt>
                <c:pt idx="1">
                  <c:v>327.6609360961758</c:v>
                </c:pt>
              </c:numCache>
            </c:numRef>
          </c:xVal>
          <c:yVal>
            <c:numRef>
              <c:f>Solcust!$L$11:$L$12</c:f>
              <c:numCache>
                <c:formatCode>General</c:formatCode>
                <c:ptCount val="2"/>
                <c:pt idx="0">
                  <c:v>0.0</c:v>
                </c:pt>
                <c:pt idx="1">
                  <c:v>229.4304054753376</c:v>
                </c:pt>
              </c:numCache>
            </c:numRef>
          </c:yVal>
          <c:smooth val="0"/>
        </c:ser>
        <c:ser>
          <c:idx val="20"/>
          <c:order val="20"/>
          <c:tx>
            <c:v>pvdis 2</c:v>
          </c:tx>
          <c:marker>
            <c:symbol val="none"/>
          </c:marker>
          <c:xVal>
            <c:numRef>
              <c:f>Solcust!$K$13:$K$14</c:f>
              <c:numCache>
                <c:formatCode>General</c:formatCode>
                <c:ptCount val="2"/>
                <c:pt idx="0">
                  <c:v>0.0</c:v>
                </c:pt>
                <c:pt idx="1">
                  <c:v>375.8770886512875</c:v>
                </c:pt>
              </c:numCache>
            </c:numRef>
          </c:xVal>
          <c:yVal>
            <c:numRef>
              <c:f>Solcust!$L$13:$L$14</c:f>
              <c:numCache>
                <c:formatCode>General</c:formatCode>
                <c:ptCount val="2"/>
                <c:pt idx="0">
                  <c:v>0.0</c:v>
                </c:pt>
                <c:pt idx="1">
                  <c:v>136.8079465054283</c:v>
                </c:pt>
              </c:numCache>
            </c:numRef>
          </c:yVal>
          <c:smooth val="0"/>
        </c:ser>
        <c:ser>
          <c:idx val="21"/>
          <c:order val="21"/>
          <c:tx>
            <c:v>top triangle 13</c:v>
          </c:tx>
          <c:marker>
            <c:symbol val="none"/>
          </c:marker>
          <c:xVal>
            <c:numRef>
              <c:f>Solcust!$C$168:$C$171</c:f>
              <c:numCache>
                <c:formatCode>0.00</c:formatCode>
                <c:ptCount val="4"/>
                <c:pt idx="0">
                  <c:v>141.0</c:v>
                </c:pt>
                <c:pt idx="1">
                  <c:v>41.0</c:v>
                </c:pt>
                <c:pt idx="2">
                  <c:v>141.0</c:v>
                </c:pt>
                <c:pt idx="3">
                  <c:v>141.0</c:v>
                </c:pt>
              </c:numCache>
            </c:numRef>
          </c:xVal>
          <c:yVal>
            <c:numRef>
              <c:f>Solcust!$E$168:$E$171</c:f>
              <c:numCache>
                <c:formatCode>0.00</c:formatCode>
                <c:ptCount val="4"/>
                <c:pt idx="0">
                  <c:v>233.0</c:v>
                </c:pt>
                <c:pt idx="1">
                  <c:v>200.0</c:v>
                </c:pt>
                <c:pt idx="2">
                  <c:v>200.0</c:v>
                </c:pt>
                <c:pt idx="3">
                  <c:v>233.0</c:v>
                </c:pt>
              </c:numCache>
            </c:numRef>
          </c:yVal>
          <c:smooth val="0"/>
        </c:ser>
        <c:ser>
          <c:idx val="22"/>
          <c:order val="22"/>
          <c:tx>
            <c:v>Upstream pole tip r8</c:v>
          </c:tx>
          <c:marker>
            <c:symbol val="none"/>
          </c:marker>
          <c:xVal>
            <c:numRef>
              <c:f>Solcust!$C$96:$C$107</c:f>
              <c:numCache>
                <c:formatCode>0.00</c:formatCode>
                <c:ptCount val="12"/>
                <c:pt idx="0">
                  <c:v>-116.0</c:v>
                </c:pt>
                <c:pt idx="1">
                  <c:v>-141.0</c:v>
                </c:pt>
                <c:pt idx="2">
                  <c:v>-141.0</c:v>
                </c:pt>
                <c:pt idx="3">
                  <c:v>-128.5</c:v>
                </c:pt>
                <c:pt idx="4">
                  <c:v>-128.5</c:v>
                </c:pt>
                <c:pt idx="5">
                  <c:v>-141.0</c:v>
                </c:pt>
                <c:pt idx="6">
                  <c:v>-141.0</c:v>
                </c:pt>
                <c:pt idx="7">
                  <c:v>-132.6666666666667</c:v>
                </c:pt>
                <c:pt idx="8">
                  <c:v>-124.3333333333333</c:v>
                </c:pt>
                <c:pt idx="9">
                  <c:v>-124.3333333333333</c:v>
                </c:pt>
                <c:pt idx="10">
                  <c:v>-116.0</c:v>
                </c:pt>
                <c:pt idx="11">
                  <c:v>-116.0</c:v>
                </c:pt>
              </c:numCache>
            </c:numRef>
          </c:xVal>
          <c:yVal>
            <c:numRef>
              <c:f>Solcust!$E$96:$E$107</c:f>
              <c:numCache>
                <c:formatCode>0.00</c:formatCode>
                <c:ptCount val="12"/>
                <c:pt idx="0">
                  <c:v>200.0</c:v>
                </c:pt>
                <c:pt idx="1">
                  <c:v>200.0</c:v>
                </c:pt>
                <c:pt idx="2">
                  <c:v>183.0</c:v>
                </c:pt>
                <c:pt idx="3">
                  <c:v>178.0</c:v>
                </c:pt>
                <c:pt idx="4">
                  <c:v>163.0</c:v>
                </c:pt>
                <c:pt idx="5">
                  <c:v>148.0</c:v>
                </c:pt>
                <c:pt idx="6">
                  <c:v>102.5</c:v>
                </c:pt>
                <c:pt idx="7">
                  <c:v>95.0</c:v>
                </c:pt>
                <c:pt idx="8">
                  <c:v>95.0</c:v>
                </c:pt>
                <c:pt idx="9">
                  <c:v>102.5</c:v>
                </c:pt>
                <c:pt idx="10">
                  <c:v>110.0</c:v>
                </c:pt>
                <c:pt idx="11">
                  <c:v>200.0</c:v>
                </c:pt>
              </c:numCache>
            </c:numRef>
          </c:yVal>
          <c:smooth val="0"/>
        </c:ser>
        <c:ser>
          <c:idx val="23"/>
          <c:order val="23"/>
          <c:tx>
            <c:v>upstream block 9</c:v>
          </c:tx>
          <c:marker>
            <c:symbol val="none"/>
          </c:marker>
          <c:xVal>
            <c:numRef>
              <c:f>Solcust!$C$111:$C$115</c:f>
              <c:numCache>
                <c:formatCode>0.00</c:formatCode>
                <c:ptCount val="5"/>
                <c:pt idx="0">
                  <c:v>-141.0</c:v>
                </c:pt>
                <c:pt idx="1">
                  <c:v>-146.0</c:v>
                </c:pt>
                <c:pt idx="2">
                  <c:v>-146.0</c:v>
                </c:pt>
                <c:pt idx="3">
                  <c:v>-141.0</c:v>
                </c:pt>
                <c:pt idx="4">
                  <c:v>-141.0</c:v>
                </c:pt>
              </c:numCache>
            </c:numRef>
          </c:xVal>
          <c:yVal>
            <c:numRef>
              <c:f>Solcust!$E$111:$E$115</c:f>
              <c:numCache>
                <c:formatCode>0.00</c:formatCode>
                <c:ptCount val="5"/>
                <c:pt idx="0">
                  <c:v>200.0</c:v>
                </c:pt>
                <c:pt idx="1">
                  <c:v>200.0</c:v>
                </c:pt>
                <c:pt idx="2">
                  <c:v>183.0</c:v>
                </c:pt>
                <c:pt idx="3">
                  <c:v>183.0</c:v>
                </c:pt>
                <c:pt idx="4">
                  <c:v>200.0</c:v>
                </c:pt>
              </c:numCache>
            </c:numRef>
          </c:yVal>
          <c:smooth val="0"/>
        </c:ser>
        <c:ser>
          <c:idx val="24"/>
          <c:order val="24"/>
          <c:tx>
            <c:v>upstream top</c:v>
          </c:tx>
          <c:marker>
            <c:symbol val="none"/>
          </c:marker>
          <c:xVal>
            <c:numRef>
              <c:f>Solcust!$C$175:$C$179</c:f>
              <c:numCache>
                <c:formatCode>0.00</c:formatCode>
                <c:ptCount val="5"/>
                <c:pt idx="0">
                  <c:v>-186.0</c:v>
                </c:pt>
                <c:pt idx="1">
                  <c:v>-146.0</c:v>
                </c:pt>
                <c:pt idx="2">
                  <c:v>-101.0</c:v>
                </c:pt>
                <c:pt idx="3">
                  <c:v>-61.0</c:v>
                </c:pt>
                <c:pt idx="4">
                  <c:v>-186.0</c:v>
                </c:pt>
              </c:numCache>
            </c:numRef>
          </c:xVal>
          <c:yVal>
            <c:numRef>
              <c:f>Solcust!$E$175:$E$179</c:f>
              <c:numCache>
                <c:formatCode>0.00</c:formatCode>
                <c:ptCount val="5"/>
                <c:pt idx="0">
                  <c:v>200.0</c:v>
                </c:pt>
                <c:pt idx="1">
                  <c:v>215.0</c:v>
                </c:pt>
                <c:pt idx="2">
                  <c:v>215.0</c:v>
                </c:pt>
                <c:pt idx="3">
                  <c:v>200.0</c:v>
                </c:pt>
                <c:pt idx="4">
                  <c:v>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315016"/>
        <c:axId val="716317912"/>
      </c:scatterChart>
      <c:valAx>
        <c:axId val="716315016"/>
        <c:scaling>
          <c:orientation val="minMax"/>
          <c:max val="400.0"/>
          <c:min val="-250.0"/>
        </c:scaling>
        <c:delete val="0"/>
        <c:axPos val="b"/>
        <c:numFmt formatCode="0.00" sourceLinked="1"/>
        <c:majorTickMark val="out"/>
        <c:minorTickMark val="none"/>
        <c:tickLblPos val="nextTo"/>
        <c:crossAx val="716317912"/>
        <c:crosses val="autoZero"/>
        <c:crossBetween val="midCat"/>
      </c:valAx>
      <c:valAx>
        <c:axId val="716317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16315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116</xdr:row>
      <xdr:rowOff>88900</xdr:rowOff>
    </xdr:from>
    <xdr:to>
      <xdr:col>27</xdr:col>
      <xdr:colOff>609600</xdr:colOff>
      <xdr:row>145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134</xdr:row>
      <xdr:rowOff>101600</xdr:rowOff>
    </xdr:from>
    <xdr:to>
      <xdr:col>25</xdr:col>
      <xdr:colOff>0</xdr:colOff>
      <xdr:row>169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474133</xdr:colOff>
      <xdr:row>130</xdr:row>
      <xdr:rowOff>42333</xdr:rowOff>
    </xdr:from>
    <xdr:to>
      <xdr:col>14</xdr:col>
      <xdr:colOff>160866</xdr:colOff>
      <xdr:row>148</xdr:row>
      <xdr:rowOff>84666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105</xdr:row>
      <xdr:rowOff>63500</xdr:rowOff>
    </xdr:from>
    <xdr:to>
      <xdr:col>24</xdr:col>
      <xdr:colOff>165100</xdr:colOff>
      <xdr:row>131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leov5wedge65" connectionId="3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leov5wedge15" connectionId="1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leov5wedge35" connectionId="2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tabSelected="1" topLeftCell="A116" workbookViewId="0">
      <selection activeCell="H174" sqref="H174"/>
    </sheetView>
  </sheetViews>
  <sheetFormatPr baseColWidth="10" defaultRowHeight="12" x14ac:dyDescent="0"/>
  <cols>
    <col min="8" max="8" width="4.6640625" customWidth="1"/>
    <col min="9" max="9" width="4.83203125" customWidth="1"/>
    <col min="10" max="10" width="9" customWidth="1"/>
    <col min="11" max="12" width="8.5" customWidth="1"/>
    <col min="13" max="13" width="9" bestFit="1" customWidth="1"/>
    <col min="14" max="16" width="8.6640625" customWidth="1"/>
  </cols>
  <sheetData>
    <row r="1" spans="1:26">
      <c r="A1" s="3" t="s">
        <v>118</v>
      </c>
      <c r="B1" s="3"/>
      <c r="C1" s="3"/>
      <c r="D1" s="3"/>
      <c r="E1" s="3"/>
      <c r="F1" s="3"/>
      <c r="G1" s="3" t="s">
        <v>131</v>
      </c>
      <c r="H1" s="3"/>
      <c r="I1" s="3"/>
      <c r="J1" s="3">
        <v>0.51</v>
      </c>
      <c r="K1" s="3" t="s">
        <v>132</v>
      </c>
      <c r="L1" s="3"/>
      <c r="M1" s="3"/>
      <c r="N1" s="3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3" t="s">
        <v>143</v>
      </c>
      <c r="B2" s="3">
        <v>1300</v>
      </c>
      <c r="C2" s="3"/>
      <c r="D2" s="3" t="s">
        <v>34</v>
      </c>
      <c r="E2" s="3">
        <v>35</v>
      </c>
      <c r="F2" s="3"/>
      <c r="G2" s="3" t="s">
        <v>130</v>
      </c>
      <c r="H2" s="3"/>
      <c r="I2" s="3"/>
      <c r="J2" s="3">
        <v>0.48899999999999999</v>
      </c>
      <c r="K2" s="3" t="s">
        <v>132</v>
      </c>
      <c r="L2" s="3"/>
      <c r="M2" s="3"/>
      <c r="N2" s="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>
      <c r="A3" s="3" t="s">
        <v>118</v>
      </c>
      <c r="B3" s="3"/>
      <c r="C3" s="3"/>
      <c r="D3" s="3" t="s">
        <v>35</v>
      </c>
      <c r="E3" s="3">
        <v>15.3</v>
      </c>
      <c r="F3" s="3"/>
      <c r="G3" s="3"/>
      <c r="H3" s="3"/>
      <c r="I3" s="3"/>
      <c r="J3" s="3" t="s">
        <v>169</v>
      </c>
      <c r="K3" s="3">
        <v>-350</v>
      </c>
      <c r="L3" s="3">
        <v>0</v>
      </c>
      <c r="M3" s="3">
        <v>17</v>
      </c>
      <c r="N3" s="3">
        <v>500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3" t="s">
        <v>144</v>
      </c>
      <c r="B4" s="5">
        <f>(B10+B11)/2</f>
        <v>155</v>
      </c>
      <c r="C4" s="3"/>
      <c r="D4" s="3" t="s">
        <v>72</v>
      </c>
      <c r="E4" s="3">
        <v>50</v>
      </c>
      <c r="F4" s="3"/>
      <c r="G4" s="3"/>
      <c r="H4" s="3"/>
      <c r="I4" s="3"/>
      <c r="J4" s="3"/>
      <c r="K4" s="3">
        <f>K3+N3*COS(M3*3.14159/180)</f>
        <v>128.15241461813531</v>
      </c>
      <c r="L4" s="3">
        <f>SIN(M3*3.14159/180)*N3+L3</f>
        <v>146.18573252833826</v>
      </c>
      <c r="M4" s="3"/>
      <c r="N4" s="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3" t="s">
        <v>145</v>
      </c>
      <c r="B5" s="3">
        <v>3250</v>
      </c>
      <c r="C5" s="3"/>
      <c r="D5" s="3"/>
      <c r="E5" s="3"/>
      <c r="F5" s="3"/>
      <c r="G5" s="3"/>
      <c r="H5" s="3"/>
      <c r="I5" s="3"/>
      <c r="J5" s="3"/>
      <c r="K5" s="3">
        <f>K3</f>
        <v>-350</v>
      </c>
      <c r="L5" s="3">
        <v>0</v>
      </c>
      <c r="M5" s="3">
        <v>24</v>
      </c>
      <c r="N5" s="3">
        <v>500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G6" s="3"/>
      <c r="H6" t="s">
        <v>34</v>
      </c>
      <c r="I6">
        <v>35</v>
      </c>
      <c r="J6" s="3"/>
      <c r="K6" s="3">
        <f>K5+N5*COS(M5*3.14159/180)</f>
        <v>106.77280077541883</v>
      </c>
      <c r="L6" s="3">
        <f>SIN(M5*3.14159/180)*N5+L5</f>
        <v>203.36815992622724</v>
      </c>
      <c r="M6" s="3"/>
      <c r="N6" s="3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E7" s="3"/>
      <c r="F7" s="3"/>
      <c r="G7" s="3"/>
      <c r="H7" t="s">
        <v>35</v>
      </c>
      <c r="I7">
        <v>16</v>
      </c>
      <c r="J7" s="3" t="s">
        <v>170</v>
      </c>
      <c r="K7" s="3">
        <f>K3</f>
        <v>-350</v>
      </c>
      <c r="L7" s="3">
        <v>0</v>
      </c>
      <c r="M7" s="3">
        <v>9.3000000000000007</v>
      </c>
      <c r="N7" s="3">
        <v>800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3" t="s">
        <v>148</v>
      </c>
      <c r="B8" s="3">
        <v>175</v>
      </c>
      <c r="C8" s="3"/>
      <c r="D8" s="3"/>
      <c r="E8" s="3"/>
      <c r="F8" s="3">
        <f>ATAN(B10/B8)</f>
        <v>0.72165485086476122</v>
      </c>
      <c r="G8" s="3"/>
      <c r="H8" s="3"/>
      <c r="I8" s="3"/>
      <c r="J8" s="3"/>
      <c r="K8" s="3">
        <f>K7+N7*COS(M7*3.14159/180)</f>
        <v>439.48459085042202</v>
      </c>
      <c r="L8" s="3">
        <f>SIN(M7*3.14159/180)*N7+L7</f>
        <v>129.28294864266377</v>
      </c>
      <c r="M8" s="3"/>
      <c r="N8" s="3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  <c r="G9" s="3"/>
      <c r="H9" s="3"/>
      <c r="I9" s="3"/>
      <c r="J9" s="3"/>
      <c r="K9" s="3">
        <f>K3</f>
        <v>-350</v>
      </c>
      <c r="L9" s="3">
        <v>0</v>
      </c>
      <c r="M9" s="3">
        <v>14.3</v>
      </c>
      <c r="N9" s="3">
        <v>800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  <c r="G10" s="3"/>
      <c r="H10" s="3"/>
      <c r="I10" s="3"/>
      <c r="J10" s="3"/>
      <c r="K10" s="3">
        <f>K9+N9*COS(M9*3.14159/180)</f>
        <v>425.2126267819541</v>
      </c>
      <c r="L10" s="3">
        <f>SIN(M9*3.14159/180)*N9+L9</f>
        <v>197.5990467533249</v>
      </c>
      <c r="M10" s="3"/>
      <c r="N10" s="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3" t="s">
        <v>151</v>
      </c>
      <c r="B11" s="3">
        <v>156</v>
      </c>
      <c r="C11" s="3" t="s">
        <v>137</v>
      </c>
      <c r="D11" s="3">
        <v>95</v>
      </c>
      <c r="E11" s="3"/>
      <c r="F11" s="3"/>
      <c r="G11" s="3"/>
      <c r="H11" s="3"/>
      <c r="I11" s="3"/>
      <c r="J11" s="3" t="s">
        <v>171</v>
      </c>
      <c r="K11" s="3">
        <v>0</v>
      </c>
      <c r="L11" s="3">
        <v>0</v>
      </c>
      <c r="M11" s="3">
        <f>I6</f>
        <v>35</v>
      </c>
      <c r="N11" s="3">
        <v>500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3" t="s">
        <v>168</v>
      </c>
      <c r="B12" s="3"/>
      <c r="C12" s="3"/>
      <c r="D12" s="3"/>
      <c r="E12" s="3"/>
      <c r="F12" s="3"/>
      <c r="G12" s="3"/>
      <c r="H12" s="3"/>
      <c r="I12" s="3"/>
      <c r="J12" s="3"/>
      <c r="K12" s="3">
        <f>K11+N11*COS(M11*3.14159/180)</f>
        <v>409.57617012021967</v>
      </c>
      <c r="L12" s="3">
        <f>SIN(M11*3.14159/180)*N11+L11</f>
        <v>286.788006844172</v>
      </c>
      <c r="M12" s="3"/>
      <c r="N12" s="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3" t="s">
        <v>118</v>
      </c>
      <c r="B13" s="3"/>
      <c r="C13" s="3"/>
      <c r="D13" s="3"/>
      <c r="E13" s="3"/>
      <c r="F13" s="3"/>
      <c r="G13" s="3"/>
      <c r="H13" s="3"/>
      <c r="I13" s="3"/>
      <c r="J13" s="3"/>
      <c r="K13" s="3">
        <f>K11</f>
        <v>0</v>
      </c>
      <c r="L13" s="3">
        <v>0</v>
      </c>
      <c r="M13" s="3">
        <v>20</v>
      </c>
      <c r="N13" s="3">
        <v>500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3" t="s">
        <v>55</v>
      </c>
      <c r="B14" s="3">
        <v>0</v>
      </c>
      <c r="C14" s="3" t="s">
        <v>56</v>
      </c>
      <c r="D14" s="3" t="s">
        <v>57</v>
      </c>
      <c r="E14" s="3"/>
      <c r="F14" s="3"/>
      <c r="G14" s="3"/>
      <c r="H14" s="3"/>
      <c r="I14" s="3"/>
      <c r="J14" s="3"/>
      <c r="K14" s="3">
        <f>K13+N13*COS(M13*3.14159/180)</f>
        <v>469.8463608141094</v>
      </c>
      <c r="L14" s="3">
        <f>SIN(M13*3.14159/180)*N13+L13</f>
        <v>171.00993313178543</v>
      </c>
      <c r="M14" s="3"/>
      <c r="N14" s="3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>
      <c r="A15" s="3" t="s">
        <v>58</v>
      </c>
      <c r="B15" s="3">
        <v>-1</v>
      </c>
      <c r="C15" s="3"/>
      <c r="D15" s="3" t="s">
        <v>59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3" t="s">
        <v>45</v>
      </c>
      <c r="B16" s="3">
        <v>0</v>
      </c>
      <c r="C16" s="3"/>
      <c r="D16" s="3" t="s">
        <v>60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3" t="s">
        <v>49</v>
      </c>
      <c r="B17" s="3">
        <v>1</v>
      </c>
      <c r="C17" s="3" t="s">
        <v>61</v>
      </c>
      <c r="D17" s="3" t="s">
        <v>62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3" t="s">
        <v>47</v>
      </c>
      <c r="B18" s="3">
        <v>0.05</v>
      </c>
      <c r="C18" s="3" t="s">
        <v>46</v>
      </c>
      <c r="D18" s="3" t="s">
        <v>40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3" t="s">
        <v>48</v>
      </c>
      <c r="B19" s="3">
        <v>0.05</v>
      </c>
      <c r="C19" s="3" t="s">
        <v>46</v>
      </c>
      <c r="D19" s="3" t="s">
        <v>40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3" t="s">
        <v>63</v>
      </c>
      <c r="B20" s="3">
        <v>8.0000000000000002E-3</v>
      </c>
      <c r="C20" s="3" t="s">
        <v>46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3" t="s">
        <v>50</v>
      </c>
      <c r="B21" s="3">
        <v>0</v>
      </c>
      <c r="C21" s="3" t="s">
        <v>46</v>
      </c>
      <c r="D21" s="3" t="s">
        <v>41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3" t="s">
        <v>51</v>
      </c>
      <c r="B22" s="3">
        <v>0</v>
      </c>
      <c r="C22" s="3" t="s">
        <v>46</v>
      </c>
      <c r="D22" s="3" t="s">
        <v>42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3" t="s">
        <v>52</v>
      </c>
      <c r="B23" s="3">
        <v>0</v>
      </c>
      <c r="C23" s="3" t="s">
        <v>46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3" t="s">
        <v>53</v>
      </c>
      <c r="B24" s="3">
        <v>0</v>
      </c>
      <c r="C24" s="3" t="s">
        <v>46</v>
      </c>
      <c r="D24" s="3" t="s">
        <v>44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3" t="s">
        <v>118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3" t="s">
        <v>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3" t="s">
        <v>19</v>
      </c>
      <c r="B27" s="3">
        <v>15</v>
      </c>
      <c r="C27" s="3" t="s">
        <v>20</v>
      </c>
      <c r="D27" s="3">
        <f>INT(F27*$B$31)</f>
        <v>4</v>
      </c>
      <c r="E27" s="3" t="s">
        <v>119</v>
      </c>
      <c r="F27" s="3">
        <v>0.01</v>
      </c>
      <c r="G27" s="3"/>
      <c r="H27" s="3"/>
      <c r="I27" s="3"/>
      <c r="J27" s="3"/>
      <c r="K27" s="3"/>
      <c r="L27" s="3"/>
      <c r="M27" s="3"/>
      <c r="N27" s="3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3" t="s">
        <v>21</v>
      </c>
      <c r="B28" s="3">
        <v>80</v>
      </c>
      <c r="C28" s="3" t="s">
        <v>22</v>
      </c>
      <c r="D28" s="3">
        <f>INT(F28*$B$31)</f>
        <v>160</v>
      </c>
      <c r="E28" s="3" t="s">
        <v>118</v>
      </c>
      <c r="F28" s="3">
        <v>0.4</v>
      </c>
      <c r="G28" s="3"/>
      <c r="H28" s="3"/>
      <c r="I28" s="3"/>
      <c r="J28" s="3"/>
      <c r="K28" s="3"/>
      <c r="L28" s="3"/>
      <c r="M28" s="3"/>
      <c r="N28" s="3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3" t="s">
        <v>23</v>
      </c>
      <c r="B29" s="3">
        <v>140</v>
      </c>
      <c r="C29" s="3" t="s">
        <v>24</v>
      </c>
      <c r="D29" s="3">
        <f>INT(F29*$B$31)</f>
        <v>200</v>
      </c>
      <c r="E29" s="3" t="s">
        <v>118</v>
      </c>
      <c r="F29" s="3">
        <v>0.5</v>
      </c>
      <c r="G29" s="3"/>
      <c r="H29" s="3"/>
      <c r="I29" s="3"/>
      <c r="J29" s="3"/>
      <c r="K29" s="3"/>
      <c r="L29" s="3"/>
      <c r="M29" s="3"/>
      <c r="N29" s="3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3" t="s">
        <v>188</v>
      </c>
      <c r="B30" s="3">
        <v>335</v>
      </c>
      <c r="C30" s="3" t="s">
        <v>189</v>
      </c>
      <c r="D30" s="3">
        <f>INT(F30*$B$31)</f>
        <v>392</v>
      </c>
      <c r="E30" s="3" t="s">
        <v>118</v>
      </c>
      <c r="F30" s="3">
        <v>0.98</v>
      </c>
      <c r="G30" s="3"/>
      <c r="H30" s="3"/>
      <c r="I30" s="3"/>
      <c r="J30" s="3"/>
      <c r="K30" s="3"/>
      <c r="L30" s="3"/>
      <c r="M30" s="3"/>
      <c r="N30" s="3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3" t="s">
        <v>25</v>
      </c>
      <c r="B31" s="3">
        <v>400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3" t="s">
        <v>26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3" t="s">
        <v>27</v>
      </c>
      <c r="B33" s="3">
        <v>-275</v>
      </c>
      <c r="C33" s="3" t="s">
        <v>30</v>
      </c>
      <c r="D33" s="3">
        <f>INT(F33*$B$37)</f>
        <v>100</v>
      </c>
      <c r="E33" s="3" t="s">
        <v>119</v>
      </c>
      <c r="F33" s="3">
        <v>0.1</v>
      </c>
      <c r="G33" s="3"/>
      <c r="H33" s="3"/>
      <c r="I33" s="3"/>
      <c r="J33" s="3"/>
      <c r="K33" s="3"/>
      <c r="L33" s="3"/>
      <c r="M33" s="3"/>
      <c r="N33" s="3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3" t="s">
        <v>164</v>
      </c>
      <c r="B34" s="3">
        <v>-150</v>
      </c>
      <c r="C34" s="3" t="s">
        <v>31</v>
      </c>
      <c r="D34" s="3">
        <f>INT(F34*$B$37)</f>
        <v>500</v>
      </c>
      <c r="E34" s="3" t="s">
        <v>118</v>
      </c>
      <c r="F34" s="3">
        <v>0.5</v>
      </c>
      <c r="G34" s="3"/>
      <c r="H34" s="3"/>
      <c r="I34" s="3"/>
      <c r="J34" s="3"/>
      <c r="K34" s="3"/>
      <c r="L34" s="3"/>
      <c r="M34" s="3"/>
      <c r="N34" s="3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3" t="s">
        <v>28</v>
      </c>
      <c r="B35" s="3">
        <v>140</v>
      </c>
      <c r="C35" s="3" t="s">
        <v>32</v>
      </c>
      <c r="D35" s="3">
        <f>INT(F35*$B$37)</f>
        <v>900</v>
      </c>
      <c r="E35" s="3" t="s">
        <v>118</v>
      </c>
      <c r="F35" s="3">
        <v>0.9</v>
      </c>
      <c r="G35" s="3"/>
      <c r="H35" s="3"/>
      <c r="I35" s="3"/>
      <c r="J35" s="3"/>
      <c r="K35" s="3"/>
      <c r="L35" s="3"/>
      <c r="M35" s="3"/>
      <c r="N35" s="3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3" t="s">
        <v>29</v>
      </c>
      <c r="B36" s="3">
        <v>460</v>
      </c>
      <c r="C36" s="3" t="s">
        <v>33</v>
      </c>
      <c r="D36" s="3">
        <f>INT(F36*$B$37)</f>
        <v>950</v>
      </c>
      <c r="E36" s="3" t="s">
        <v>118</v>
      </c>
      <c r="F36" s="3">
        <v>0.95</v>
      </c>
      <c r="G36" s="3"/>
      <c r="H36" s="3"/>
      <c r="I36" s="3"/>
      <c r="J36" s="3"/>
      <c r="K36" s="3"/>
      <c r="L36" s="3"/>
      <c r="M36" s="3"/>
      <c r="N36" s="3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3" t="s">
        <v>67</v>
      </c>
      <c r="B37" s="3">
        <v>1000</v>
      </c>
      <c r="C37" s="3" t="s">
        <v>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3" t="s">
        <v>118</v>
      </c>
      <c r="B38" s="3" t="s">
        <v>152</v>
      </c>
      <c r="C38" s="3">
        <v>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  <c r="G39" s="3"/>
      <c r="H39" s="3"/>
      <c r="I39" s="3"/>
      <c r="J39" s="3"/>
      <c r="K39" s="3"/>
      <c r="L39" s="3"/>
      <c r="M39" s="3"/>
      <c r="N39" s="3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  <c r="F40" s="3"/>
      <c r="G40" s="3"/>
      <c r="H40" s="3"/>
      <c r="I40" s="3"/>
      <c r="J40" s="3"/>
      <c r="K40" s="3"/>
      <c r="L40" s="3"/>
      <c r="M40" s="3"/>
      <c r="N40" s="3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  <c r="F41" s="3"/>
      <c r="G41" s="3"/>
      <c r="H41" s="3"/>
      <c r="I41" s="3"/>
      <c r="J41" s="3"/>
      <c r="K41" s="3"/>
      <c r="L41" s="3"/>
      <c r="M41" s="3"/>
      <c r="N41" s="3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  <c r="F42" s="3"/>
      <c r="G42" s="3"/>
      <c r="H42" s="3"/>
      <c r="I42" s="3"/>
      <c r="J42" s="3"/>
      <c r="K42" s="3"/>
      <c r="L42" s="3"/>
      <c r="M42" s="3"/>
      <c r="N42" s="3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  <c r="F43" s="3"/>
      <c r="G43" s="3"/>
      <c r="H43" s="3"/>
      <c r="I43" s="3"/>
      <c r="J43" s="3"/>
      <c r="K43" s="3"/>
      <c r="L43" s="3"/>
      <c r="M43" s="3"/>
      <c r="N43" s="3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3" t="s">
        <v>118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3" t="s">
        <v>125</v>
      </c>
      <c r="B45" s="3" t="s">
        <v>152</v>
      </c>
      <c r="C45" s="9">
        <f>C38+1</f>
        <v>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3" t="s">
        <v>4</v>
      </c>
      <c r="B46" s="3" t="s">
        <v>5</v>
      </c>
      <c r="C46" s="10" t="s">
        <v>6</v>
      </c>
      <c r="D46" s="4">
        <f>D7*2*B5</f>
        <v>1078453.4538822924</v>
      </c>
      <c r="E46" s="3" t="s">
        <v>2</v>
      </c>
      <c r="F46" s="3"/>
      <c r="G46" s="3"/>
      <c r="H46" s="3"/>
      <c r="I46" s="3"/>
      <c r="J46" s="3"/>
      <c r="K46" s="3"/>
      <c r="L46" s="3"/>
      <c r="M46" s="3"/>
      <c r="N46" s="3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3" t="s">
        <v>0</v>
      </c>
      <c r="B47" s="3" t="s">
        <v>13</v>
      </c>
      <c r="C47" s="11">
        <f>-B8</f>
        <v>-175</v>
      </c>
      <c r="D47" s="3" t="s">
        <v>1</v>
      </c>
      <c r="E47" s="4">
        <f>$B$11</f>
        <v>156</v>
      </c>
      <c r="F47" s="3" t="s">
        <v>2</v>
      </c>
      <c r="G47" s="3"/>
      <c r="H47" s="3"/>
      <c r="I47" s="3"/>
      <c r="J47" s="3"/>
      <c r="K47" s="3"/>
      <c r="L47" s="3"/>
      <c r="M47" s="3"/>
      <c r="N47" s="3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3" t="s">
        <v>0</v>
      </c>
      <c r="B48" s="3" t="s">
        <v>13</v>
      </c>
      <c r="C48" s="11">
        <f>-B9</f>
        <v>-87.5</v>
      </c>
      <c r="D48" s="3" t="s">
        <v>1</v>
      </c>
      <c r="E48" s="11">
        <f>E47</f>
        <v>156</v>
      </c>
      <c r="F48" s="3" t="s">
        <v>2</v>
      </c>
      <c r="G48" s="3"/>
      <c r="H48" s="3"/>
      <c r="I48" s="3"/>
      <c r="J48" s="3"/>
      <c r="K48" s="3"/>
      <c r="L48" s="3"/>
      <c r="M48" s="3"/>
      <c r="N48" s="3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3" t="s">
        <v>0</v>
      </c>
      <c r="B49" s="3" t="s">
        <v>13</v>
      </c>
      <c r="C49" s="11">
        <f>C48</f>
        <v>-87.5</v>
      </c>
      <c r="D49" s="3" t="s">
        <v>1</v>
      </c>
      <c r="E49" s="11">
        <f>$B$10</f>
        <v>154</v>
      </c>
      <c r="F49" s="3" t="s">
        <v>2</v>
      </c>
      <c r="G49" s="3"/>
      <c r="H49" s="3"/>
      <c r="I49" s="3"/>
      <c r="J49" s="3"/>
      <c r="K49" s="3"/>
      <c r="L49" s="3"/>
      <c r="M49" s="3"/>
      <c r="N49" s="3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3" t="s">
        <v>0</v>
      </c>
      <c r="B50" s="3" t="s">
        <v>13</v>
      </c>
      <c r="C50" s="11">
        <f>C47</f>
        <v>-175</v>
      </c>
      <c r="D50" s="3" t="s">
        <v>1</v>
      </c>
      <c r="E50" s="11">
        <f>E49</f>
        <v>154</v>
      </c>
      <c r="F50" s="3" t="s">
        <v>2</v>
      </c>
      <c r="G50" s="3"/>
      <c r="H50" s="3"/>
      <c r="I50" s="3"/>
      <c r="J50" s="3"/>
      <c r="K50" s="3"/>
      <c r="L50" s="3"/>
      <c r="M50" s="3"/>
      <c r="N50" s="3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3" t="s">
        <v>0</v>
      </c>
      <c r="B51" s="3" t="s">
        <v>13</v>
      </c>
      <c r="C51" s="11">
        <f>C47</f>
        <v>-175</v>
      </c>
      <c r="D51" s="3" t="s">
        <v>1</v>
      </c>
      <c r="E51" s="11">
        <f>E47</f>
        <v>156</v>
      </c>
      <c r="F51" s="3" t="s">
        <v>2</v>
      </c>
      <c r="G51" s="3"/>
      <c r="H51" s="3"/>
      <c r="I51" s="3"/>
      <c r="J51" s="3"/>
      <c r="K51" s="3"/>
      <c r="L51" s="3"/>
      <c r="M51" s="3"/>
      <c r="N51" s="3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3" t="s">
        <v>118</v>
      </c>
      <c r="B52" s="3"/>
      <c r="C52" s="10"/>
      <c r="D52" s="3"/>
      <c r="E52" s="10"/>
      <c r="F52" s="3"/>
      <c r="G52" s="3"/>
      <c r="H52" s="3"/>
      <c r="I52" s="3"/>
      <c r="J52" s="3"/>
      <c r="K52" s="3"/>
      <c r="L52" s="3"/>
      <c r="M52" s="3"/>
      <c r="N52" s="3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3" t="s">
        <v>126</v>
      </c>
      <c r="B53" s="3" t="s">
        <v>152</v>
      </c>
      <c r="C53" s="9">
        <f>C45+1</f>
        <v>3</v>
      </c>
      <c r="D53" s="3"/>
      <c r="E53" s="10"/>
      <c r="F53" s="3"/>
      <c r="G53" s="3"/>
      <c r="H53" s="3"/>
      <c r="I53" s="3"/>
      <c r="J53" s="3"/>
      <c r="K53" s="3"/>
      <c r="L53" s="3"/>
      <c r="M53" s="3"/>
      <c r="N53" s="3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3" t="s">
        <v>4</v>
      </c>
      <c r="B54" s="3" t="s">
        <v>5</v>
      </c>
      <c r="C54" s="10" t="s">
        <v>6</v>
      </c>
      <c r="D54" s="4">
        <f>D6*2*B5</f>
        <v>2068093.0939154543</v>
      </c>
      <c r="E54" s="10" t="s">
        <v>2</v>
      </c>
      <c r="F54" s="3"/>
      <c r="G54" s="3"/>
      <c r="H54" s="3"/>
      <c r="I54" s="3"/>
      <c r="J54" s="3"/>
      <c r="K54" s="3"/>
      <c r="L54" s="3"/>
      <c r="M54" s="3"/>
      <c r="N54" s="3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3" t="s">
        <v>0</v>
      </c>
      <c r="B55" s="3" t="s">
        <v>13</v>
      </c>
      <c r="C55" s="11">
        <f>-$B$9</f>
        <v>-87.5</v>
      </c>
      <c r="D55" s="3" t="s">
        <v>1</v>
      </c>
      <c r="E55" s="11">
        <f>$B$11</f>
        <v>156</v>
      </c>
      <c r="F55" s="3" t="s">
        <v>2</v>
      </c>
      <c r="G55" s="3"/>
      <c r="H55" s="3"/>
      <c r="I55" s="3"/>
      <c r="J55" s="3"/>
      <c r="K55" s="3"/>
      <c r="L55" s="3"/>
      <c r="M55" s="3"/>
      <c r="N55" s="3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E55</f>
        <v>156</v>
      </c>
      <c r="F56" s="3" t="s">
        <v>2</v>
      </c>
      <c r="G56" s="3"/>
      <c r="H56" s="3"/>
      <c r="I56" s="3"/>
      <c r="J56" s="3"/>
      <c r="K56" s="3"/>
      <c r="L56" s="3"/>
      <c r="M56" s="3"/>
      <c r="N56" s="3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3" t="s">
        <v>0</v>
      </c>
      <c r="B57" s="3" t="s">
        <v>13</v>
      </c>
      <c r="C57" s="11">
        <f>$B$9</f>
        <v>87.5</v>
      </c>
      <c r="D57" s="3" t="s">
        <v>1</v>
      </c>
      <c r="E57" s="11">
        <f>$B$10</f>
        <v>154</v>
      </c>
      <c r="F57" s="3" t="s">
        <v>2</v>
      </c>
      <c r="G57" s="3"/>
      <c r="H57" s="3"/>
      <c r="I57" s="3"/>
      <c r="J57" s="3"/>
      <c r="K57" s="3"/>
      <c r="L57" s="3"/>
      <c r="M57" s="3"/>
      <c r="N57" s="3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E57</f>
        <v>154</v>
      </c>
      <c r="F58" s="3" t="s">
        <v>2</v>
      </c>
      <c r="G58" s="3"/>
      <c r="H58" s="3"/>
      <c r="I58" s="3"/>
      <c r="J58" s="3"/>
      <c r="K58" s="3"/>
      <c r="L58" s="3"/>
      <c r="M58" s="3"/>
      <c r="N58" s="3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3" t="s">
        <v>0</v>
      </c>
      <c r="B59" s="3" t="s">
        <v>13</v>
      </c>
      <c r="C59" s="11">
        <f>-$B$9</f>
        <v>-87.5</v>
      </c>
      <c r="D59" s="3" t="s">
        <v>1</v>
      </c>
      <c r="E59" s="11">
        <f>E55</f>
        <v>156</v>
      </c>
      <c r="F59" s="3" t="s">
        <v>2</v>
      </c>
      <c r="G59" s="3"/>
      <c r="H59" s="3"/>
      <c r="I59" s="3"/>
      <c r="J59" s="3"/>
      <c r="K59" s="3"/>
      <c r="L59" s="3"/>
      <c r="M59" s="3"/>
      <c r="N59" s="3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3" t="s">
        <v>118</v>
      </c>
      <c r="B60" s="3"/>
      <c r="C60" s="10"/>
      <c r="D60" s="3"/>
      <c r="E60" s="10"/>
      <c r="F60" s="3"/>
      <c r="G60" s="3"/>
      <c r="H60" s="3"/>
      <c r="I60" s="3"/>
      <c r="J60" s="3"/>
      <c r="K60" s="3"/>
      <c r="L60" s="3"/>
      <c r="M60" s="3"/>
      <c r="N60" s="3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3" t="s">
        <v>106</v>
      </c>
      <c r="B61" s="3" t="s">
        <v>152</v>
      </c>
      <c r="C61" s="9">
        <f>C53+1</f>
        <v>4</v>
      </c>
      <c r="D61" s="3"/>
      <c r="E61" s="10"/>
      <c r="F61" s="3"/>
      <c r="G61" s="3"/>
      <c r="H61" s="3"/>
      <c r="I61" s="3"/>
      <c r="J61" s="3"/>
      <c r="K61" s="3"/>
      <c r="L61" s="3"/>
      <c r="M61" s="3"/>
      <c r="N61" s="3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3" t="s">
        <v>4</v>
      </c>
      <c r="B62" s="3" t="s">
        <v>5</v>
      </c>
      <c r="C62" s="10" t="s">
        <v>6</v>
      </c>
      <c r="D62" s="4">
        <f>D46</f>
        <v>1078453.4538822924</v>
      </c>
      <c r="E62" s="10" t="s">
        <v>2</v>
      </c>
      <c r="F62" s="3"/>
      <c r="G62" s="3"/>
      <c r="H62" s="3"/>
      <c r="I62" s="3"/>
      <c r="J62" s="3"/>
      <c r="K62" s="3"/>
      <c r="L62" s="3"/>
      <c r="M62" s="3"/>
      <c r="N62" s="3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3" t="s">
        <v>0</v>
      </c>
      <c r="B63" s="3" t="s">
        <v>13</v>
      </c>
      <c r="C63" s="11">
        <f>B8</f>
        <v>175</v>
      </c>
      <c r="D63" s="3" t="s">
        <v>1</v>
      </c>
      <c r="E63" s="11">
        <f>$B$11</f>
        <v>156</v>
      </c>
      <c r="F63" s="3" t="s">
        <v>2</v>
      </c>
      <c r="G63" s="3"/>
      <c r="H63" s="3"/>
      <c r="I63" s="3"/>
      <c r="J63" s="3"/>
      <c r="K63" s="3"/>
      <c r="L63" s="3"/>
      <c r="M63" s="3"/>
      <c r="N63" s="3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E63</f>
        <v>156</v>
      </c>
      <c r="F64" s="3" t="s">
        <v>2</v>
      </c>
      <c r="G64" s="3"/>
      <c r="H64" s="3"/>
      <c r="I64" s="3"/>
      <c r="J64" s="3"/>
      <c r="K64" s="3"/>
      <c r="L64" s="3"/>
      <c r="M64" s="3"/>
      <c r="N64" s="3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3" t="s">
        <v>0</v>
      </c>
      <c r="B65" s="3" t="s">
        <v>13</v>
      </c>
      <c r="C65" s="11">
        <f>B9</f>
        <v>87.5</v>
      </c>
      <c r="D65" s="3" t="s">
        <v>1</v>
      </c>
      <c r="E65" s="11">
        <f>$B$10</f>
        <v>154</v>
      </c>
      <c r="F65" s="3" t="s">
        <v>2</v>
      </c>
      <c r="G65" s="3"/>
      <c r="H65" s="3"/>
      <c r="I65" s="3"/>
      <c r="J65" s="3"/>
      <c r="K65" s="3"/>
      <c r="L65" s="3"/>
      <c r="M65" s="3"/>
      <c r="N65" s="3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E65</f>
        <v>154</v>
      </c>
      <c r="F66" s="3" t="s">
        <v>2</v>
      </c>
      <c r="G66" s="3"/>
      <c r="H66" s="3"/>
      <c r="I66" s="3"/>
      <c r="J66" s="3"/>
      <c r="K66" s="3"/>
      <c r="L66" s="3"/>
      <c r="M66" s="3"/>
      <c r="N66" s="3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3" t="s">
        <v>0</v>
      </c>
      <c r="B67" s="3" t="s">
        <v>13</v>
      </c>
      <c r="C67" s="11">
        <f>B8</f>
        <v>175</v>
      </c>
      <c r="D67" s="3" t="s">
        <v>1</v>
      </c>
      <c r="E67" s="11">
        <f>E63</f>
        <v>156</v>
      </c>
      <c r="F67" s="3" t="s">
        <v>2</v>
      </c>
      <c r="G67" s="3"/>
      <c r="H67" s="3"/>
      <c r="I67" s="3"/>
      <c r="J67" s="3"/>
      <c r="K67" s="3"/>
      <c r="L67" s="3"/>
      <c r="M67" s="3"/>
      <c r="N67" s="3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3" t="s">
        <v>118</v>
      </c>
      <c r="B68" s="3"/>
      <c r="C68" s="10"/>
      <c r="D68" s="3"/>
      <c r="E68" s="10"/>
      <c r="F68" s="3"/>
      <c r="G68" s="3"/>
      <c r="H68" s="3"/>
      <c r="I68" s="3"/>
      <c r="J68" s="3"/>
      <c r="K68" s="3"/>
      <c r="L68" s="3"/>
      <c r="M68" s="3"/>
      <c r="N68" s="3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3" t="s">
        <v>134</v>
      </c>
      <c r="B69" s="3" t="s">
        <v>152</v>
      </c>
      <c r="C69" s="9">
        <f>C61+1</f>
        <v>5</v>
      </c>
      <c r="D69" s="3"/>
      <c r="E69" s="10"/>
      <c r="F69" s="3"/>
      <c r="G69" s="3"/>
      <c r="H69" s="3"/>
      <c r="I69" s="3"/>
      <c r="J69" s="3"/>
      <c r="K69" s="3"/>
      <c r="L69" s="3"/>
      <c r="M69" s="3"/>
      <c r="N69" s="3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3" t="s">
        <v>16</v>
      </c>
      <c r="B70" s="3" t="s">
        <v>17</v>
      </c>
      <c r="C70" s="10" t="s">
        <v>2</v>
      </c>
      <c r="D70" s="3"/>
      <c r="E70" s="10"/>
      <c r="F70" s="3"/>
      <c r="G70" s="3"/>
      <c r="H70" s="3"/>
      <c r="I70" s="3"/>
      <c r="J70" s="3"/>
      <c r="K70" s="3"/>
      <c r="L70" s="3"/>
      <c r="M70" s="3"/>
      <c r="N70" s="3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3" t="s">
        <v>0</v>
      </c>
      <c r="B71" s="3" t="s">
        <v>13</v>
      </c>
      <c r="C71" s="11">
        <f>-$D$10</f>
        <v>-175.26</v>
      </c>
      <c r="D71" s="3" t="s">
        <v>1</v>
      </c>
      <c r="E71" s="11">
        <f>$D$9 - 36</f>
        <v>225</v>
      </c>
      <c r="F71" s="3" t="s">
        <v>2</v>
      </c>
      <c r="G71" s="3"/>
      <c r="H71" s="3"/>
      <c r="I71" s="3"/>
      <c r="J71" s="3"/>
      <c r="K71" s="3"/>
      <c r="L71" s="3"/>
      <c r="M71" s="3"/>
      <c r="N71" s="3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3" t="s">
        <v>0</v>
      </c>
      <c r="B72" s="3" t="s">
        <v>13</v>
      </c>
      <c r="C72" s="11">
        <f>$D$10</f>
        <v>175.26</v>
      </c>
      <c r="D72" s="3" t="s">
        <v>1</v>
      </c>
      <c r="E72" s="11">
        <f>E71</f>
        <v>225</v>
      </c>
      <c r="F72" s="3" t="s">
        <v>2</v>
      </c>
      <c r="G72" s="3"/>
      <c r="H72" s="3"/>
      <c r="I72" s="3"/>
      <c r="J72" s="3"/>
      <c r="K72" s="3"/>
      <c r="L72" s="3"/>
      <c r="M72" s="3"/>
      <c r="N72" s="3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3" t="s">
        <v>0</v>
      </c>
      <c r="B73" s="3" t="s">
        <v>13</v>
      </c>
      <c r="C73" s="11">
        <f>C72</f>
        <v>175.26</v>
      </c>
      <c r="D73" s="3" t="s">
        <v>1</v>
      </c>
      <c r="E73" s="11">
        <f>D9</f>
        <v>261</v>
      </c>
      <c r="F73" s="3" t="s">
        <v>2</v>
      </c>
      <c r="G73" s="3"/>
      <c r="H73" s="3"/>
      <c r="I73" s="3"/>
      <c r="J73" s="3"/>
      <c r="K73" s="3"/>
      <c r="L73" s="3"/>
      <c r="M73" s="3"/>
      <c r="N73" s="3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3" t="s">
        <v>0</v>
      </c>
      <c r="B74" s="3" t="s">
        <v>13</v>
      </c>
      <c r="C74" s="11">
        <f>C71</f>
        <v>-175.26</v>
      </c>
      <c r="D74" s="3" t="s">
        <v>1</v>
      </c>
      <c r="E74" s="11">
        <f>E73</f>
        <v>261</v>
      </c>
      <c r="F74" s="3" t="s">
        <v>2</v>
      </c>
      <c r="G74" s="3"/>
      <c r="H74" s="3"/>
      <c r="I74" s="3"/>
      <c r="J74" s="3"/>
      <c r="K74" s="3"/>
      <c r="L74" s="3"/>
      <c r="M74" s="3"/>
      <c r="N74" s="3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3" t="s">
        <v>0</v>
      </c>
      <c r="B75" s="3" t="s">
        <v>13</v>
      </c>
      <c r="C75" s="11">
        <f>C71</f>
        <v>-175.26</v>
      </c>
      <c r="D75" s="3" t="s">
        <v>1</v>
      </c>
      <c r="E75" s="11">
        <f>E71</f>
        <v>225</v>
      </c>
      <c r="F75" s="3" t="s">
        <v>2</v>
      </c>
      <c r="G75" s="3"/>
      <c r="H75" s="3"/>
      <c r="I75" s="3"/>
      <c r="J75" s="3"/>
      <c r="K75" s="3"/>
      <c r="L75" s="3"/>
      <c r="M75" s="3"/>
      <c r="N75" s="3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3" t="s">
        <v>118</v>
      </c>
      <c r="B76" s="3"/>
      <c r="C76" s="10"/>
      <c r="D76" s="3"/>
      <c r="E76" s="10"/>
      <c r="F76" s="3"/>
      <c r="G76" s="3"/>
      <c r="H76" s="3"/>
      <c r="I76" s="3"/>
      <c r="J76" s="3"/>
      <c r="K76" s="3"/>
      <c r="L76" s="3"/>
      <c r="M76" s="3"/>
      <c r="N76" s="3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3" t="s">
        <v>136</v>
      </c>
      <c r="B77" s="3" t="s">
        <v>152</v>
      </c>
      <c r="C77" s="9">
        <f>C69+1</f>
        <v>6</v>
      </c>
      <c r="D77" s="3"/>
      <c r="E77" s="10"/>
      <c r="F77" s="3"/>
      <c r="G77" s="3"/>
      <c r="H77" s="3"/>
      <c r="I77" s="3"/>
      <c r="J77" s="3"/>
      <c r="K77" s="3"/>
      <c r="L77" s="3"/>
      <c r="M77" s="3"/>
      <c r="N77" s="3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3" t="s">
        <v>16</v>
      </c>
      <c r="B78" s="3" t="s">
        <v>17</v>
      </c>
      <c r="C78" s="10" t="s">
        <v>2</v>
      </c>
      <c r="D78" s="3"/>
      <c r="E78" s="10"/>
      <c r="F78" s="3"/>
      <c r="G78" s="3"/>
      <c r="H78" s="3"/>
      <c r="I78" s="3"/>
      <c r="J78" s="3"/>
      <c r="K78" s="3"/>
      <c r="L78" s="3"/>
      <c r="M78" s="3"/>
      <c r="N78" s="3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3" t="s">
        <v>0</v>
      </c>
      <c r="B79" s="3" t="s">
        <v>13</v>
      </c>
      <c r="C79" s="11">
        <f>-$D$10</f>
        <v>-175.26</v>
      </c>
      <c r="D79" s="3" t="s">
        <v>1</v>
      </c>
      <c r="E79" s="11">
        <f>D9-81</f>
        <v>180</v>
      </c>
      <c r="F79" s="3" t="s">
        <v>2</v>
      </c>
      <c r="G79" s="3" t="s">
        <v>180</v>
      </c>
      <c r="H79" s="3">
        <v>5</v>
      </c>
      <c r="I79" s="3"/>
      <c r="J79" s="3"/>
      <c r="K79" s="3"/>
      <c r="L79" s="3"/>
      <c r="M79" s="3"/>
      <c r="N79" s="3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3" t="s">
        <v>0</v>
      </c>
      <c r="B80" s="3" t="s">
        <v>13</v>
      </c>
      <c r="C80" s="11">
        <f>$D$10</f>
        <v>175.26</v>
      </c>
      <c r="D80" s="3" t="s">
        <v>1</v>
      </c>
      <c r="E80" s="11">
        <f>E79</f>
        <v>180</v>
      </c>
      <c r="F80" s="3" t="s">
        <v>2</v>
      </c>
      <c r="G80" s="3" t="s">
        <v>181</v>
      </c>
      <c r="H80" s="3">
        <v>55</v>
      </c>
      <c r="I80" s="3"/>
      <c r="J80" s="3"/>
      <c r="K80" s="3"/>
      <c r="L80" s="3"/>
      <c r="M80" s="3"/>
      <c r="N80" s="3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3" t="s">
        <v>0</v>
      </c>
      <c r="B81" s="3" t="s">
        <v>13</v>
      </c>
      <c r="C81" s="11">
        <f>C80</f>
        <v>175.26</v>
      </c>
      <c r="D81" s="3" t="s">
        <v>1</v>
      </c>
      <c r="E81" s="11">
        <f>D9-45</f>
        <v>216</v>
      </c>
      <c r="F81" s="3" t="s">
        <v>2</v>
      </c>
      <c r="G81" s="3"/>
      <c r="H81" s="3"/>
      <c r="I81" s="3"/>
      <c r="J81" s="3"/>
      <c r="K81" s="3"/>
      <c r="L81" s="3"/>
      <c r="M81" s="3"/>
      <c r="N81" s="3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3" t="s">
        <v>0</v>
      </c>
      <c r="B82" s="3" t="s">
        <v>13</v>
      </c>
      <c r="C82" s="11">
        <f>C79</f>
        <v>-175.26</v>
      </c>
      <c r="D82" s="3" t="s">
        <v>1</v>
      </c>
      <c r="E82" s="11">
        <f>E81</f>
        <v>216</v>
      </c>
      <c r="F82" s="3" t="s">
        <v>2</v>
      </c>
      <c r="G82" s="3"/>
      <c r="H82" s="3"/>
      <c r="I82" s="3"/>
      <c r="J82" s="3"/>
      <c r="K82" s="3"/>
      <c r="L82" s="3"/>
      <c r="M82" s="3"/>
      <c r="N82" s="3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3" t="s">
        <v>0</v>
      </c>
      <c r="B83" s="3" t="s">
        <v>13</v>
      </c>
      <c r="C83" s="11">
        <f>C79</f>
        <v>-175.26</v>
      </c>
      <c r="D83" s="3" t="s">
        <v>1</v>
      </c>
      <c r="E83" s="11">
        <f>E79</f>
        <v>180</v>
      </c>
      <c r="F83" s="3" t="s">
        <v>2</v>
      </c>
      <c r="G83" s="3"/>
      <c r="H83" s="3"/>
      <c r="I83" s="3"/>
      <c r="J83" s="3"/>
      <c r="K83" s="3"/>
      <c r="L83" s="3"/>
      <c r="M83" s="3"/>
      <c r="N83" s="3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3" t="s">
        <v>118</v>
      </c>
      <c r="B84" s="3"/>
      <c r="C84" s="10"/>
      <c r="D84" s="3"/>
      <c r="E84" s="10"/>
      <c r="F84" s="3"/>
      <c r="G84" s="3"/>
      <c r="H84" s="3"/>
      <c r="I84" s="3"/>
      <c r="J84" s="3"/>
      <c r="K84" s="3"/>
      <c r="L84" s="3"/>
      <c r="M84" s="3"/>
      <c r="N84" s="3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3" t="s">
        <v>118</v>
      </c>
      <c r="B85" s="3"/>
      <c r="C85" s="10"/>
      <c r="D85" s="3"/>
      <c r="E85" s="10"/>
      <c r="F85" s="3"/>
      <c r="G85" s="3"/>
      <c r="H85" s="3"/>
      <c r="I85" s="3"/>
      <c r="J85" s="3"/>
      <c r="K85" s="3"/>
      <c r="L85" s="3"/>
      <c r="M85" s="3"/>
      <c r="N85" s="3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3" t="s">
        <v>139</v>
      </c>
      <c r="B86" s="3" t="s">
        <v>152</v>
      </c>
      <c r="C86" s="9">
        <f>C77+1</f>
        <v>7</v>
      </c>
      <c r="D86" s="3"/>
      <c r="E86" s="10"/>
      <c r="F86" s="3"/>
      <c r="G86" s="3"/>
      <c r="H86" s="3"/>
      <c r="I86" s="3"/>
      <c r="J86" s="3"/>
      <c r="K86" s="3"/>
      <c r="L86" s="3"/>
      <c r="M86" s="3"/>
      <c r="N86" s="3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3" t="s">
        <v>16</v>
      </c>
      <c r="B87" s="3" t="s">
        <v>17</v>
      </c>
      <c r="C87" s="10" t="s">
        <v>2</v>
      </c>
      <c r="D87" s="3"/>
      <c r="E87" s="10"/>
      <c r="F87" s="3"/>
      <c r="G87" s="3"/>
      <c r="H87" s="3"/>
      <c r="I87" s="3"/>
      <c r="J87" s="3"/>
      <c r="K87" s="3"/>
      <c r="L87" s="3"/>
      <c r="M87" s="3"/>
      <c r="N87" s="3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3" t="s">
        <v>0</v>
      </c>
      <c r="B88" s="3" t="s">
        <v>13</v>
      </c>
      <c r="C88" s="11">
        <f>C96-H96-4</f>
        <v>-204.26</v>
      </c>
      <c r="D88" s="3" t="s">
        <v>1</v>
      </c>
      <c r="E88" s="11">
        <f>D9</f>
        <v>261</v>
      </c>
      <c r="F88" s="3" t="s">
        <v>2</v>
      </c>
      <c r="G88" s="3" t="s">
        <v>179</v>
      </c>
      <c r="H88" s="3">
        <v>40</v>
      </c>
      <c r="I88" s="3"/>
      <c r="J88" s="3"/>
      <c r="K88" s="3"/>
      <c r="L88" s="3"/>
      <c r="M88" s="3"/>
      <c r="N88" s="3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3" t="s">
        <v>0</v>
      </c>
      <c r="B89" s="3" t="s">
        <v>13</v>
      </c>
      <c r="C89" s="11">
        <f>C88-H88</f>
        <v>-244.26</v>
      </c>
      <c r="D89" s="3" t="s">
        <v>1</v>
      </c>
      <c r="E89" s="11">
        <f>$D$9</f>
        <v>261</v>
      </c>
      <c r="F89" s="3" t="s">
        <v>2</v>
      </c>
      <c r="G89" s="3"/>
      <c r="H89" s="3"/>
      <c r="I89" s="3"/>
      <c r="J89" s="3"/>
      <c r="K89" s="3"/>
      <c r="L89" s="3"/>
      <c r="M89" s="3"/>
      <c r="N89" s="3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3" t="s">
        <v>0</v>
      </c>
      <c r="B90" s="3" t="s">
        <v>13</v>
      </c>
      <c r="C90" s="11">
        <f>C89</f>
        <v>-244.26</v>
      </c>
      <c r="D90" s="3" t="s">
        <v>1</v>
      </c>
      <c r="E90" s="11">
        <f>D11</f>
        <v>95</v>
      </c>
      <c r="F90" s="3" t="s">
        <v>2</v>
      </c>
      <c r="G90" s="3"/>
      <c r="H90" s="3"/>
      <c r="I90" s="3"/>
      <c r="J90" s="3"/>
      <c r="K90" s="3"/>
      <c r="L90" s="3"/>
      <c r="M90" s="3"/>
      <c r="N90" s="3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3" t="s">
        <v>0</v>
      </c>
      <c r="B91" s="3" t="s">
        <v>13</v>
      </c>
      <c r="C91" s="11">
        <f>C88</f>
        <v>-204.26</v>
      </c>
      <c r="D91" s="3" t="s">
        <v>1</v>
      </c>
      <c r="E91" s="11">
        <f>E90</f>
        <v>95</v>
      </c>
      <c r="F91" s="3" t="s">
        <v>2</v>
      </c>
      <c r="G91" s="3"/>
      <c r="H91" s="3"/>
      <c r="I91" s="3"/>
      <c r="J91" s="3"/>
      <c r="K91" s="3"/>
      <c r="L91" s="3"/>
      <c r="M91" s="3"/>
      <c r="N91" s="3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3" t="s">
        <v>0</v>
      </c>
      <c r="B92" s="3" t="s">
        <v>13</v>
      </c>
      <c r="C92" s="11">
        <f>C88</f>
        <v>-204.26</v>
      </c>
      <c r="D92" s="3" t="s">
        <v>1</v>
      </c>
      <c r="E92" s="11">
        <f>E88</f>
        <v>261</v>
      </c>
      <c r="F92" s="3" t="s">
        <v>2</v>
      </c>
      <c r="G92" s="3"/>
      <c r="H92" s="3"/>
      <c r="I92" s="3"/>
      <c r="J92" s="3"/>
      <c r="K92" s="3"/>
      <c r="L92" s="3"/>
      <c r="M92" s="3"/>
      <c r="N92" s="3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3" t="s">
        <v>118</v>
      </c>
      <c r="B93" s="3"/>
      <c r="C93" s="10"/>
      <c r="D93" s="3"/>
      <c r="E93" s="10"/>
      <c r="F93" s="3"/>
      <c r="G93" s="3"/>
      <c r="H93" s="3"/>
      <c r="I93" s="3"/>
      <c r="J93" s="3"/>
      <c r="K93" s="3"/>
      <c r="L93" s="3"/>
      <c r="M93" s="3"/>
      <c r="N93" s="3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12" t="s">
        <v>0</v>
      </c>
      <c r="B96" s="12" t="s">
        <v>13</v>
      </c>
      <c r="C96" s="15">
        <f t="shared" ref="C96:C105" si="0">-C127</f>
        <v>-175.26</v>
      </c>
      <c r="D96" s="12" t="s">
        <v>1</v>
      </c>
      <c r="E96" s="15">
        <f t="shared" ref="E96:E105" si="1">E127</f>
        <v>261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12" t="s">
        <v>0</v>
      </c>
      <c r="B97" s="12" t="s">
        <v>13</v>
      </c>
      <c r="C97" s="15">
        <f t="shared" si="0"/>
        <v>-187.76</v>
      </c>
      <c r="D97" s="12" t="s">
        <v>1</v>
      </c>
      <c r="E97" s="15">
        <f t="shared" si="1"/>
        <v>261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12" t="s">
        <v>0</v>
      </c>
      <c r="B98" s="12" t="s">
        <v>13</v>
      </c>
      <c r="C98" s="15">
        <f t="shared" si="0"/>
        <v>-187.76</v>
      </c>
      <c r="D98" s="12" t="s">
        <v>1</v>
      </c>
      <c r="E98" s="15">
        <f t="shared" si="1"/>
        <v>246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12" t="s">
        <v>0</v>
      </c>
      <c r="B99" s="12" t="s">
        <v>13</v>
      </c>
      <c r="C99" s="15">
        <f t="shared" si="0"/>
        <v>-200.26</v>
      </c>
      <c r="D99" s="12" t="s">
        <v>1</v>
      </c>
      <c r="E99" s="15">
        <f t="shared" si="1"/>
        <v>231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12" t="s">
        <v>0</v>
      </c>
      <c r="B100" s="12" t="s">
        <v>13</v>
      </c>
      <c r="C100" s="15">
        <f t="shared" si="0"/>
        <v>-200.26</v>
      </c>
      <c r="D100" s="12" t="s">
        <v>1</v>
      </c>
      <c r="E100" s="15">
        <f t="shared" si="1"/>
        <v>164.5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12" t="s">
        <v>0</v>
      </c>
      <c r="B101" s="12" t="s">
        <v>13</v>
      </c>
      <c r="C101" s="15">
        <f t="shared" si="0"/>
        <v>-191.92666666666665</v>
      </c>
      <c r="D101" s="12" t="s">
        <v>1</v>
      </c>
      <c r="E101" s="15">
        <f t="shared" si="1"/>
        <v>149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t="s">
        <v>0</v>
      </c>
      <c r="B102" s="12" t="s">
        <v>13</v>
      </c>
      <c r="C102" s="15">
        <f t="shared" si="0"/>
        <v>-183.59333333333333</v>
      </c>
      <c r="D102" s="12" t="s">
        <v>1</v>
      </c>
      <c r="E102" s="15">
        <f t="shared" si="1"/>
        <v>149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t="s">
        <v>0</v>
      </c>
      <c r="B103" s="12" t="s">
        <v>13</v>
      </c>
      <c r="C103" s="15">
        <f t="shared" si="0"/>
        <v>-183.59333333333333</v>
      </c>
      <c r="D103" s="12" t="s">
        <v>1</v>
      </c>
      <c r="E103" s="15">
        <f t="shared" si="1"/>
        <v>164.5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>
      <c r="A104" t="s">
        <v>0</v>
      </c>
      <c r="B104" s="12" t="s">
        <v>13</v>
      </c>
      <c r="C104" s="15">
        <f t="shared" si="0"/>
        <v>-175.26</v>
      </c>
      <c r="D104" s="12" t="s">
        <v>1</v>
      </c>
      <c r="E104" s="15">
        <f t="shared" si="1"/>
        <v>180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>
      <c r="A105" t="s">
        <v>0</v>
      </c>
      <c r="B105" s="12" t="s">
        <v>13</v>
      </c>
      <c r="C105" s="15">
        <f t="shared" si="0"/>
        <v>-175.26</v>
      </c>
      <c r="D105" s="12" t="s">
        <v>1</v>
      </c>
      <c r="E105" s="15">
        <f t="shared" si="1"/>
        <v>261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>
      <c r="A106" s="12" t="s">
        <v>118</v>
      </c>
      <c r="B106" s="12"/>
      <c r="C106" s="13"/>
      <c r="D106" s="12"/>
      <c r="E106" s="13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>
      <c r="A107" s="3" t="s">
        <v>118</v>
      </c>
      <c r="B107" s="3"/>
      <c r="C107" s="10"/>
      <c r="D107" s="3"/>
      <c r="E107" s="10"/>
      <c r="F107" s="3"/>
      <c r="G107" s="3"/>
      <c r="H107" s="3"/>
      <c r="I107" s="3"/>
      <c r="J107" s="3"/>
      <c r="K107" s="3"/>
      <c r="L107" s="3"/>
      <c r="M107" s="3"/>
      <c r="N107" s="3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>
      <c r="A108" s="3" t="s">
        <v>140</v>
      </c>
      <c r="B108" s="3" t="s">
        <v>152</v>
      </c>
      <c r="C108" s="9">
        <f>C94+1</f>
        <v>9</v>
      </c>
      <c r="D108" s="3"/>
      <c r="E108" s="10"/>
      <c r="F108" s="3"/>
      <c r="G108" s="3"/>
      <c r="H108" s="3"/>
      <c r="I108" s="3"/>
      <c r="J108" s="3"/>
      <c r="K108" s="3"/>
      <c r="L108" s="3"/>
      <c r="M108" s="3"/>
      <c r="N108" s="3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>
      <c r="A109" s="3" t="s">
        <v>16</v>
      </c>
      <c r="B109" s="3" t="s">
        <v>17</v>
      </c>
      <c r="C109" s="10" t="s">
        <v>2</v>
      </c>
      <c r="D109" s="3"/>
      <c r="E109" s="10"/>
      <c r="F109" s="3"/>
      <c r="G109" s="3"/>
      <c r="H109" s="3"/>
      <c r="I109" s="3"/>
      <c r="J109" s="3"/>
      <c r="K109" s="3"/>
      <c r="L109" s="3"/>
      <c r="M109" s="3"/>
      <c r="N109" s="3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>
      <c r="A110" s="3" t="s">
        <v>0</v>
      </c>
      <c r="B110" s="3" t="s">
        <v>13</v>
      </c>
      <c r="C110" s="11">
        <f>C91</f>
        <v>-204.26</v>
      </c>
      <c r="D110" s="3" t="s">
        <v>1</v>
      </c>
      <c r="E110" s="11">
        <f>E91</f>
        <v>95</v>
      </c>
      <c r="F110" s="3" t="s">
        <v>2</v>
      </c>
      <c r="G110" s="3" t="s">
        <v>191</v>
      </c>
      <c r="H110" s="3">
        <v>5</v>
      </c>
      <c r="I110" s="3"/>
      <c r="J110" s="3"/>
      <c r="K110" s="3"/>
      <c r="L110" s="3"/>
      <c r="M110" s="3"/>
      <c r="N110" s="3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>
      <c r="A111" s="3" t="s">
        <v>0</v>
      </c>
      <c r="B111" s="3" t="s">
        <v>13</v>
      </c>
      <c r="C111" s="11">
        <f>C110</f>
        <v>-204.26</v>
      </c>
      <c r="D111" s="3" t="s">
        <v>1</v>
      </c>
      <c r="E111" s="11">
        <f>TAN(M5/180*3.1415926535)*(C111-K5) +H110</f>
        <v>69.887628594775308</v>
      </c>
      <c r="F111" s="3" t="s">
        <v>2</v>
      </c>
      <c r="G111" s="3"/>
      <c r="H111" s="3"/>
      <c r="I111" s="3"/>
      <c r="J111" s="3"/>
      <c r="K111" s="3"/>
      <c r="L111" s="3"/>
      <c r="M111" s="3"/>
      <c r="N111" s="3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>
      <c r="A112" s="3" t="s">
        <v>0</v>
      </c>
      <c r="B112" s="3" t="s">
        <v>13</v>
      </c>
      <c r="C112" s="11">
        <f>C89+H111</f>
        <v>-244.26</v>
      </c>
      <c r="D112" s="3" t="s">
        <v>1</v>
      </c>
      <c r="E112" s="11">
        <f>TAN(M5/180*3.1415926535)*(C112-K5) + H110</f>
        <v>52.078481183007696</v>
      </c>
      <c r="F112" s="3" t="s">
        <v>2</v>
      </c>
      <c r="G112" s="3"/>
      <c r="H112" s="3"/>
      <c r="I112" s="3"/>
      <c r="J112" s="3"/>
      <c r="K112" s="3"/>
      <c r="L112" s="3"/>
      <c r="M112" s="3"/>
      <c r="N112" s="3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>
      <c r="A113" s="3" t="s">
        <v>0</v>
      </c>
      <c r="B113" s="3" t="s">
        <v>13</v>
      </c>
      <c r="C113" s="11">
        <f>C89</f>
        <v>-244.26</v>
      </c>
      <c r="D113" s="3" t="s">
        <v>1</v>
      </c>
      <c r="E113" s="11">
        <f>$D$11</f>
        <v>95</v>
      </c>
      <c r="F113" s="3" t="s">
        <v>2</v>
      </c>
      <c r="G113" s="3"/>
      <c r="H113" s="3"/>
      <c r="I113" s="3"/>
      <c r="J113" s="3"/>
      <c r="K113" s="3"/>
      <c r="L113" s="3"/>
      <c r="M113" s="3"/>
      <c r="N113" s="3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>
      <c r="A114" s="3" t="s">
        <v>0</v>
      </c>
      <c r="B114" s="3" t="s">
        <v>13</v>
      </c>
      <c r="C114" s="11">
        <f>C110</f>
        <v>-204.26</v>
      </c>
      <c r="D114" s="3" t="s">
        <v>1</v>
      </c>
      <c r="E114" s="11">
        <f>E110</f>
        <v>95</v>
      </c>
      <c r="F114" s="3" t="s">
        <v>2</v>
      </c>
      <c r="G114" s="3"/>
      <c r="H114" s="3"/>
      <c r="I114" s="3"/>
      <c r="J114" s="3"/>
      <c r="K114" s="3"/>
      <c r="L114" s="3"/>
      <c r="M114" s="3"/>
      <c r="N114" s="3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>
      <c r="A115" s="3" t="s">
        <v>118</v>
      </c>
      <c r="B115" s="3"/>
      <c r="C115" s="10"/>
      <c r="D115" s="3"/>
      <c r="E115" s="10"/>
      <c r="F115" s="3"/>
      <c r="G115" s="3"/>
      <c r="H115" s="3"/>
      <c r="I115" s="3"/>
      <c r="J115" s="3"/>
      <c r="K115" s="3"/>
      <c r="L115" s="3"/>
      <c r="M115" s="3"/>
      <c r="N115" s="3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>
      <c r="A116" s="3" t="s">
        <v>165</v>
      </c>
      <c r="B116" s="3" t="s">
        <v>152</v>
      </c>
      <c r="C116" s="9">
        <f>C108+1</f>
        <v>10</v>
      </c>
      <c r="D116" s="3"/>
      <c r="E116" s="10"/>
      <c r="F116" s="3"/>
      <c r="G116" s="3"/>
      <c r="H116" s="3"/>
      <c r="I116" s="3"/>
      <c r="J116" s="3"/>
      <c r="K116" s="3"/>
      <c r="L116" s="3"/>
      <c r="M116" s="3"/>
      <c r="N116" s="3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>
      <c r="A117" s="3" t="s">
        <v>16</v>
      </c>
      <c r="B117" s="3" t="s">
        <v>17</v>
      </c>
      <c r="C117" s="10" t="s">
        <v>2</v>
      </c>
      <c r="D117" s="3"/>
      <c r="E117" s="10"/>
      <c r="F117" s="3"/>
      <c r="G117" s="3"/>
      <c r="H117" s="3"/>
      <c r="I117" s="3"/>
      <c r="J117" s="3"/>
      <c r="K117" s="3"/>
      <c r="L117" s="3"/>
      <c r="M117" s="3"/>
      <c r="N117" s="3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>
      <c r="A118" s="3" t="s">
        <v>0</v>
      </c>
      <c r="B118" s="3" t="s">
        <v>13</v>
      </c>
      <c r="C118" s="11">
        <f>$D$10 - H118</f>
        <v>150.26</v>
      </c>
      <c r="D118" s="3" t="s">
        <v>1</v>
      </c>
      <c r="E118" s="11">
        <f>F10</f>
        <v>26.009600000000002</v>
      </c>
      <c r="F118" s="3" t="s">
        <v>2</v>
      </c>
      <c r="G118" s="3" t="s">
        <v>166</v>
      </c>
      <c r="H118" s="6">
        <v>25</v>
      </c>
      <c r="I118" s="3"/>
      <c r="J118" s="3"/>
      <c r="K118" s="3"/>
      <c r="L118" s="3"/>
      <c r="M118" s="3"/>
      <c r="N118" s="3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>
      <c r="A119" s="3" t="s">
        <v>0</v>
      </c>
      <c r="B119" s="3" t="s">
        <v>13</v>
      </c>
      <c r="C119" s="11">
        <f>C118+H119+H120+H118+H127</f>
        <v>455.26</v>
      </c>
      <c r="D119" s="3" t="s">
        <v>1</v>
      </c>
      <c r="E119" s="11">
        <f>E118</f>
        <v>26.009600000000002</v>
      </c>
      <c r="F119" s="3" t="s">
        <v>2</v>
      </c>
      <c r="G119" s="3" t="s">
        <v>153</v>
      </c>
      <c r="H119" s="6">
        <v>220</v>
      </c>
      <c r="I119" s="3"/>
      <c r="J119" s="3"/>
      <c r="K119" s="3"/>
      <c r="L119" s="3"/>
      <c r="M119" s="3"/>
      <c r="N119" s="3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>
      <c r="A120" s="3" t="s">
        <v>0</v>
      </c>
      <c r="B120" s="3" t="s">
        <v>13</v>
      </c>
      <c r="C120" s="11">
        <f>C119</f>
        <v>455.26</v>
      </c>
      <c r="D120" s="3" t="s">
        <v>1</v>
      </c>
      <c r="E120" s="11">
        <f>MIN(TAN($I$7*3.1415/180)*$C$121, TAN($M$7*3.1415/180)*($C$121-$K$5))-H121</f>
        <v>110.50387002849152</v>
      </c>
      <c r="F120" s="3" t="s">
        <v>2</v>
      </c>
      <c r="G120" s="3" t="s">
        <v>154</v>
      </c>
      <c r="H120" s="6">
        <v>35</v>
      </c>
      <c r="I120" s="3"/>
      <c r="J120" s="3"/>
      <c r="K120" s="3"/>
      <c r="L120" s="3"/>
      <c r="M120" s="3"/>
      <c r="N120" s="3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>
      <c r="A121" s="3" t="s">
        <v>0</v>
      </c>
      <c r="B121" s="3" t="s">
        <v>13</v>
      </c>
      <c r="C121" s="11">
        <f>C120-H120</f>
        <v>420.26</v>
      </c>
      <c r="D121" s="3" t="s">
        <v>1</v>
      </c>
      <c r="E121" s="11">
        <f>E120</f>
        <v>110.50387002849152</v>
      </c>
      <c r="F121" s="3" t="s">
        <v>2</v>
      </c>
      <c r="G121" s="3" t="s">
        <v>191</v>
      </c>
      <c r="H121" s="3">
        <v>10</v>
      </c>
      <c r="I121" s="3"/>
      <c r="J121" s="3"/>
      <c r="K121" s="3"/>
      <c r="L121" s="3"/>
      <c r="M121" s="3"/>
      <c r="N121" s="3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>
      <c r="A122" s="3" t="s">
        <v>0</v>
      </c>
      <c r="B122" s="3" t="s">
        <v>13</v>
      </c>
      <c r="C122" s="11">
        <f>C118</f>
        <v>150.26</v>
      </c>
      <c r="D122" s="3" t="s">
        <v>1</v>
      </c>
      <c r="E122" s="11">
        <f>TAN($I$7*3.1415/180)*C122</f>
        <v>43.085022392045722</v>
      </c>
      <c r="F122" s="3" t="s">
        <v>2</v>
      </c>
      <c r="G122" s="3"/>
      <c r="H122" s="3"/>
      <c r="I122" s="3"/>
      <c r="J122" s="3"/>
      <c r="K122" s="3"/>
      <c r="L122" s="3"/>
      <c r="M122" s="3"/>
      <c r="N122" s="3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>
      <c r="A123" s="3" t="s">
        <v>0</v>
      </c>
      <c r="B123" s="3" t="s">
        <v>13</v>
      </c>
      <c r="C123" s="11">
        <f>C118</f>
        <v>150.26</v>
      </c>
      <c r="D123" s="3" t="s">
        <v>1</v>
      </c>
      <c r="E123" s="11">
        <f>E118</f>
        <v>26.009600000000002</v>
      </c>
      <c r="F123" s="3" t="s">
        <v>2</v>
      </c>
      <c r="G123" s="3"/>
      <c r="H123" s="3"/>
      <c r="I123" s="3"/>
      <c r="J123" s="3"/>
      <c r="K123" s="3"/>
      <c r="L123" s="3"/>
      <c r="M123" s="3"/>
      <c r="N123" s="3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>
      <c r="A124" s="3" t="s">
        <v>118</v>
      </c>
      <c r="B124" s="3"/>
      <c r="C124" s="10"/>
      <c r="D124" s="3"/>
      <c r="E124" s="10"/>
      <c r="F124" s="3"/>
      <c r="G124" s="3"/>
      <c r="H124" s="3"/>
      <c r="I124" s="3"/>
      <c r="J124" s="3"/>
      <c r="K124" s="3"/>
      <c r="L124" s="3"/>
      <c r="M124" s="3"/>
      <c r="N124" s="3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>
      <c r="A125" s="3" t="s">
        <v>155</v>
      </c>
      <c r="B125" s="3" t="s">
        <v>152</v>
      </c>
      <c r="C125" s="9">
        <f>C116+1</f>
        <v>11</v>
      </c>
      <c r="D125" s="3"/>
      <c r="E125" s="10"/>
      <c r="F125" s="3"/>
      <c r="G125" s="3"/>
      <c r="H125" s="3"/>
      <c r="I125" s="3"/>
      <c r="J125" s="3"/>
      <c r="K125" s="3"/>
      <c r="L125" s="3"/>
      <c r="M125" s="3"/>
      <c r="N125" s="3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>
      <c r="A126" s="3" t="s">
        <v>16</v>
      </c>
      <c r="B126" s="3" t="s">
        <v>17</v>
      </c>
      <c r="C126" s="10" t="s">
        <v>2</v>
      </c>
      <c r="D126" s="3"/>
      <c r="E126" s="10"/>
      <c r="F126" s="3"/>
      <c r="G126" s="3"/>
      <c r="H126" s="3"/>
      <c r="I126" s="3"/>
      <c r="J126" s="3"/>
      <c r="K126" s="3"/>
      <c r="L126" s="3"/>
      <c r="M126" s="3"/>
      <c r="N126" s="3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>
      <c r="A127" s="3" t="s">
        <v>0</v>
      </c>
      <c r="B127" s="3" t="s">
        <v>13</v>
      </c>
      <c r="C127" s="11">
        <f>D10</f>
        <v>175.26</v>
      </c>
      <c r="D127" s="3" t="s">
        <v>1</v>
      </c>
      <c r="E127" s="11">
        <f>D9</f>
        <v>261</v>
      </c>
      <c r="F127" s="3" t="s">
        <v>2</v>
      </c>
      <c r="G127" s="3" t="s">
        <v>159</v>
      </c>
      <c r="H127" s="6">
        <v>25</v>
      </c>
      <c r="I127" s="3"/>
      <c r="J127" s="3"/>
      <c r="K127" s="3"/>
      <c r="L127" s="3"/>
      <c r="M127" s="3"/>
      <c r="N127" s="3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>
      <c r="A128" s="3" t="s">
        <v>0</v>
      </c>
      <c r="B128" s="3" t="s">
        <v>13</v>
      </c>
      <c r="C128" s="11">
        <f>C127+H127/2</f>
        <v>187.76</v>
      </c>
      <c r="D128" s="3" t="s">
        <v>1</v>
      </c>
      <c r="E128" s="11">
        <f>E127</f>
        <v>261</v>
      </c>
      <c r="F128" s="3" t="s">
        <v>2</v>
      </c>
      <c r="G128" s="3" t="s">
        <v>163</v>
      </c>
      <c r="H128" s="6">
        <v>60</v>
      </c>
      <c r="I128" s="3"/>
      <c r="J128" s="3"/>
      <c r="K128" s="3"/>
      <c r="L128" s="3"/>
      <c r="M128" s="3"/>
      <c r="N128" s="3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>
      <c r="A129" s="3" t="s">
        <v>0</v>
      </c>
      <c r="B129" s="3" t="s">
        <v>13</v>
      </c>
      <c r="C129" s="11">
        <f>C128</f>
        <v>187.76</v>
      </c>
      <c r="D129" s="3" t="s">
        <v>1</v>
      </c>
      <c r="E129" s="11">
        <f>E128-15</f>
        <v>246</v>
      </c>
      <c r="F129" s="3" t="s">
        <v>2</v>
      </c>
      <c r="G129" s="3" t="s">
        <v>118</v>
      </c>
      <c r="H129" s="3">
        <f>ATAN2(C129,E129)*180/3.1415</f>
        <v>52.64879532384419</v>
      </c>
      <c r="I129" s="3"/>
      <c r="J129" s="3"/>
      <c r="K129" s="3"/>
      <c r="L129" s="3"/>
      <c r="M129" s="3"/>
      <c r="N129" s="3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>
      <c r="A130" s="3" t="s">
        <v>0</v>
      </c>
      <c r="B130" s="3" t="s">
        <v>13</v>
      </c>
      <c r="C130" s="11">
        <f>C127+H127</f>
        <v>200.26</v>
      </c>
      <c r="D130" s="3" t="s">
        <v>1</v>
      </c>
      <c r="E130" s="11">
        <f>E129-15</f>
        <v>231</v>
      </c>
      <c r="F130" s="3" t="s">
        <v>2</v>
      </c>
      <c r="G130" s="3"/>
      <c r="H130" s="3"/>
      <c r="I130" s="3"/>
      <c r="J130" s="3"/>
      <c r="K130" s="3"/>
      <c r="L130" s="3"/>
      <c r="M130" s="3"/>
      <c r="N130" s="3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>
      <c r="A131" t="s">
        <v>0</v>
      </c>
      <c r="B131" s="3" t="s">
        <v>13</v>
      </c>
      <c r="C131" s="11">
        <f>C130</f>
        <v>200.26</v>
      </c>
      <c r="D131" s="3" t="s">
        <v>1</v>
      </c>
      <c r="E131" s="11">
        <f>E134</f>
        <v>164.5</v>
      </c>
      <c r="F131" s="3" t="s">
        <v>2</v>
      </c>
      <c r="G131" s="3" t="s">
        <v>118</v>
      </c>
      <c r="H131" s="3">
        <f>ATAN2(C131,E131)*180/3.1415</f>
        <v>39.40194475305065</v>
      </c>
      <c r="I131" s="3"/>
      <c r="J131" s="3"/>
      <c r="K131" s="3"/>
      <c r="L131" s="3"/>
      <c r="M131" s="3"/>
      <c r="N131" s="3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>
      <c r="A132" t="s">
        <v>0</v>
      </c>
      <c r="B132" s="3" t="s">
        <v>13</v>
      </c>
      <c r="C132" s="11">
        <f>C127+H127*2/3</f>
        <v>191.92666666666665</v>
      </c>
      <c r="D132" s="3" t="s">
        <v>1</v>
      </c>
      <c r="E132" s="11">
        <f>$B$10-H133</f>
        <v>149</v>
      </c>
      <c r="F132" s="3" t="s">
        <v>2</v>
      </c>
      <c r="G132" s="3"/>
      <c r="H132" s="3"/>
      <c r="I132" s="3"/>
      <c r="J132" s="3"/>
      <c r="K132" s="3"/>
      <c r="L132" s="3"/>
      <c r="M132" s="3"/>
      <c r="N132" s="3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>
      <c r="A133" t="s">
        <v>0</v>
      </c>
      <c r="B133" s="3" t="s">
        <v>13</v>
      </c>
      <c r="C133" s="11">
        <f>C127+H127/3</f>
        <v>183.59333333333333</v>
      </c>
      <c r="D133" s="3" t="s">
        <v>1</v>
      </c>
      <c r="E133" s="11">
        <f>$B$10-H133</f>
        <v>149</v>
      </c>
      <c r="F133" s="3" t="s">
        <v>2</v>
      </c>
      <c r="G133" s="3" t="s">
        <v>167</v>
      </c>
      <c r="H133" s="3">
        <v>5</v>
      </c>
      <c r="I133" s="3"/>
      <c r="J133" s="3"/>
      <c r="K133" s="3"/>
      <c r="L133" s="3"/>
      <c r="M133" s="3"/>
      <c r="N133" s="3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>
      <c r="A134" t="s">
        <v>0</v>
      </c>
      <c r="B134" s="3" t="s">
        <v>13</v>
      </c>
      <c r="C134" s="11">
        <f>C127+H127/3</f>
        <v>183.59333333333333</v>
      </c>
      <c r="D134" s="3" t="s">
        <v>1</v>
      </c>
      <c r="E134" s="11">
        <f>(E133+E79)/2</f>
        <v>164.5</v>
      </c>
      <c r="F134" s="3" t="s">
        <v>2</v>
      </c>
      <c r="G134" s="3"/>
      <c r="H134" s="3"/>
      <c r="I134" s="3"/>
      <c r="J134" s="3"/>
      <c r="K134" s="3"/>
      <c r="L134" s="3"/>
      <c r="M134" s="3"/>
      <c r="N134" s="3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>
      <c r="A135" t="s">
        <v>0</v>
      </c>
      <c r="B135" s="3" t="s">
        <v>13</v>
      </c>
      <c r="C135" s="11">
        <f>C127</f>
        <v>175.26</v>
      </c>
      <c r="D135" s="3" t="s">
        <v>1</v>
      </c>
      <c r="E135" s="11">
        <f>E79</f>
        <v>180</v>
      </c>
      <c r="F135" s="3" t="s">
        <v>2</v>
      </c>
      <c r="G135" s="3"/>
      <c r="H135" s="3"/>
      <c r="I135" s="3"/>
      <c r="J135" s="3"/>
      <c r="K135" s="3"/>
      <c r="L135" s="3"/>
      <c r="M135" s="3"/>
      <c r="N135" s="3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>
      <c r="A136" s="3" t="s">
        <v>0</v>
      </c>
      <c r="B136" s="3" t="s">
        <v>13</v>
      </c>
      <c r="C136" s="11">
        <f>C127</f>
        <v>175.26</v>
      </c>
      <c r="D136" s="3" t="s">
        <v>1</v>
      </c>
      <c r="E136" s="11">
        <f>E127</f>
        <v>261</v>
      </c>
      <c r="F136" s="3" t="s">
        <v>2</v>
      </c>
      <c r="G136" s="3"/>
      <c r="H136" s="3"/>
      <c r="I136" s="3"/>
      <c r="J136" s="3"/>
      <c r="K136" s="3"/>
      <c r="L136" s="3"/>
      <c r="M136" s="3"/>
      <c r="N136" s="3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>
      <c r="A137" s="3" t="s">
        <v>118</v>
      </c>
      <c r="B137" s="3"/>
      <c r="C137" s="10"/>
      <c r="D137" s="3"/>
      <c r="E137" s="10"/>
      <c r="F137" s="3"/>
      <c r="G137" s="3"/>
      <c r="H137" s="3"/>
      <c r="I137" s="3"/>
      <c r="J137" s="3"/>
      <c r="K137" s="3"/>
      <c r="L137" s="3"/>
      <c r="M137" s="3"/>
      <c r="N137" s="3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>
      <c r="A138" s="3" t="s">
        <v>156</v>
      </c>
      <c r="B138" s="3" t="s">
        <v>152</v>
      </c>
      <c r="C138" s="9">
        <f>C125+1</f>
        <v>12</v>
      </c>
      <c r="D138" s="3"/>
      <c r="E138" s="10"/>
      <c r="F138" s="3"/>
      <c r="G138" s="3"/>
      <c r="H138" s="3"/>
      <c r="I138" s="3"/>
      <c r="J138" s="3"/>
      <c r="K138" s="3"/>
      <c r="L138" s="3"/>
      <c r="M138" s="3"/>
      <c r="N138" s="3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>
      <c r="A139" s="3" t="s">
        <v>16</v>
      </c>
      <c r="B139" s="3" t="s">
        <v>17</v>
      </c>
      <c r="C139" s="10" t="s">
        <v>2</v>
      </c>
      <c r="D139" s="3"/>
      <c r="E139" s="10"/>
      <c r="F139" s="3"/>
      <c r="G139" s="3"/>
      <c r="H139" s="3"/>
      <c r="I139" s="3"/>
      <c r="J139" s="3"/>
      <c r="K139" s="3"/>
      <c r="L139" s="3"/>
      <c r="M139" s="3"/>
      <c r="N139" s="3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>
      <c r="A140" s="3" t="s">
        <v>0</v>
      </c>
      <c r="B140" s="3" t="s">
        <v>13</v>
      </c>
      <c r="C140" s="11">
        <f>C128</f>
        <v>187.76</v>
      </c>
      <c r="D140" s="3" t="s">
        <v>1</v>
      </c>
      <c r="E140" s="11">
        <f>E128+H128</f>
        <v>321</v>
      </c>
      <c r="F140" s="3" t="s">
        <v>2</v>
      </c>
      <c r="G140" s="3"/>
      <c r="H140" s="3"/>
      <c r="I140" s="3"/>
      <c r="J140" s="3"/>
      <c r="K140" s="3"/>
      <c r="L140" s="3"/>
      <c r="M140" s="3"/>
      <c r="N140" s="3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>
      <c r="A141" s="3" t="s">
        <v>0</v>
      </c>
      <c r="B141" s="3" t="s">
        <v>13</v>
      </c>
      <c r="C141" s="11">
        <f>C119</f>
        <v>455.26</v>
      </c>
      <c r="D141" s="3" t="s">
        <v>1</v>
      </c>
      <c r="E141" s="11">
        <f>E140</f>
        <v>321</v>
      </c>
      <c r="F141" s="3" t="s">
        <v>2</v>
      </c>
      <c r="G141" s="3" t="s">
        <v>157</v>
      </c>
      <c r="H141" s="6">
        <f>H120</f>
        <v>35</v>
      </c>
      <c r="I141" s="3"/>
      <c r="J141" s="3"/>
      <c r="K141" s="3"/>
      <c r="L141" s="3"/>
      <c r="M141" s="3"/>
      <c r="N141" s="3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>
      <c r="A142" s="3" t="s">
        <v>0</v>
      </c>
      <c r="B142" s="3" t="s">
        <v>13</v>
      </c>
      <c r="C142" s="11">
        <f>C141</f>
        <v>455.26</v>
      </c>
      <c r="D142" s="3" t="s">
        <v>1</v>
      </c>
      <c r="E142" s="11">
        <f>E141-H141</f>
        <v>286</v>
      </c>
      <c r="F142" s="3" t="s">
        <v>2</v>
      </c>
      <c r="G142" s="3"/>
      <c r="H142" s="3"/>
      <c r="I142" s="3"/>
      <c r="J142" s="3"/>
      <c r="K142" s="3"/>
      <c r="L142" s="3"/>
      <c r="M142" s="3"/>
      <c r="N142" s="3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>
      <c r="A143" s="3" t="s">
        <v>0</v>
      </c>
      <c r="B143" s="3" t="s">
        <v>13</v>
      </c>
      <c r="C143" s="11">
        <f>C140</f>
        <v>187.76</v>
      </c>
      <c r="D143" s="3" t="s">
        <v>1</v>
      </c>
      <c r="E143" s="11">
        <f>E142</f>
        <v>286</v>
      </c>
      <c r="F143" s="3" t="s">
        <v>2</v>
      </c>
      <c r="G143" s="3"/>
      <c r="H143" s="3"/>
      <c r="I143" s="3"/>
      <c r="J143" s="3"/>
      <c r="K143" s="3"/>
      <c r="L143" s="3"/>
      <c r="M143" s="3"/>
      <c r="N143" s="3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>
      <c r="A144" s="3" t="s">
        <v>0</v>
      </c>
      <c r="B144" s="3" t="s">
        <v>13</v>
      </c>
      <c r="C144" s="11">
        <f>C140</f>
        <v>187.76</v>
      </c>
      <c r="D144" s="3" t="s">
        <v>1</v>
      </c>
      <c r="E144" s="11">
        <f>E140</f>
        <v>321</v>
      </c>
      <c r="F144" s="3" t="s">
        <v>2</v>
      </c>
      <c r="G144" s="3"/>
      <c r="H144" s="3"/>
      <c r="I144" s="3"/>
      <c r="J144" s="3"/>
      <c r="K144" s="3"/>
      <c r="L144" s="3"/>
      <c r="M144" s="3"/>
      <c r="N144" s="3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>
      <c r="A145" s="3" t="s">
        <v>118</v>
      </c>
      <c r="B145" s="3"/>
      <c r="C145" s="10"/>
      <c r="D145" s="3"/>
      <c r="E145" s="10"/>
      <c r="F145" s="3"/>
      <c r="G145" s="3"/>
      <c r="H145" s="3"/>
      <c r="I145" s="3"/>
      <c r="J145" s="3"/>
      <c r="K145" s="3"/>
      <c r="L145" s="3"/>
      <c r="M145" s="3"/>
      <c r="N145" s="3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>
      <c r="A146" s="3" t="s">
        <v>160</v>
      </c>
      <c r="B146" s="3" t="s">
        <v>152</v>
      </c>
      <c r="C146" s="9">
        <f>C138+1</f>
        <v>13</v>
      </c>
      <c r="D146" s="3"/>
      <c r="E146" s="10"/>
      <c r="F146" s="3"/>
      <c r="G146" s="3" t="s">
        <v>161</v>
      </c>
      <c r="H146" s="6">
        <v>1</v>
      </c>
      <c r="I146" s="3"/>
      <c r="J146" s="3"/>
      <c r="K146" s="3"/>
      <c r="L146" s="3"/>
      <c r="M146" s="3"/>
      <c r="N146" s="3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>
      <c r="A147" s="3" t="s">
        <v>16</v>
      </c>
      <c r="B147" s="3" t="s">
        <v>17</v>
      </c>
      <c r="C147" s="10" t="s">
        <v>2</v>
      </c>
      <c r="D147" s="3"/>
      <c r="E147" s="10"/>
      <c r="F147" s="3"/>
      <c r="G147" s="3" t="s">
        <v>162</v>
      </c>
      <c r="H147" s="3">
        <f>H120</f>
        <v>35</v>
      </c>
      <c r="I147" s="3"/>
      <c r="J147" s="3"/>
      <c r="K147" s="3"/>
      <c r="L147" s="3"/>
      <c r="M147" s="3"/>
      <c r="N147" s="3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>
      <c r="A148" s="3" t="s">
        <v>0</v>
      </c>
      <c r="B148" s="3" t="s">
        <v>13</v>
      </c>
      <c r="C148" s="11">
        <f>C121</f>
        <v>420.26</v>
      </c>
      <c r="D148" s="3" t="s">
        <v>1</v>
      </c>
      <c r="E148" s="11">
        <f>E$120</f>
        <v>110.50387002849152</v>
      </c>
      <c r="F148" s="3" t="s">
        <v>2</v>
      </c>
      <c r="G148" s="3"/>
      <c r="H148" s="3"/>
      <c r="I148" s="3"/>
      <c r="J148" s="3"/>
      <c r="K148" s="3"/>
      <c r="L148" s="3"/>
      <c r="M148" s="3"/>
      <c r="N148" s="3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>
      <c r="A149" s="3" t="s">
        <v>0</v>
      </c>
      <c r="B149" s="3" t="s">
        <v>13</v>
      </c>
      <c r="C149" s="11">
        <f>C148+$H$147</f>
        <v>455.26</v>
      </c>
      <c r="D149" s="3" t="s">
        <v>1</v>
      </c>
      <c r="E149" s="11">
        <f>E148</f>
        <v>110.50387002849152</v>
      </c>
      <c r="F149" s="3" t="s">
        <v>2</v>
      </c>
      <c r="G149" s="3"/>
      <c r="H149" s="3"/>
      <c r="I149" s="3"/>
      <c r="J149" s="3"/>
      <c r="K149" s="3"/>
      <c r="L149" s="3"/>
      <c r="M149" s="3"/>
      <c r="N149" s="3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>
      <c r="A150" s="3" t="s">
        <v>0</v>
      </c>
      <c r="B150" s="3" t="s">
        <v>13</v>
      </c>
      <c r="C150" s="11">
        <f>C149</f>
        <v>455.26</v>
      </c>
      <c r="D150" s="3" t="s">
        <v>1</v>
      </c>
      <c r="E150" s="11">
        <f>E$142</f>
        <v>286</v>
      </c>
      <c r="F150" s="3" t="s">
        <v>2</v>
      </c>
      <c r="G150" s="3"/>
      <c r="H150" s="3"/>
      <c r="I150" s="3"/>
      <c r="J150" s="3"/>
      <c r="K150" s="3"/>
      <c r="L150" s="3"/>
      <c r="M150" s="3"/>
      <c r="N150" s="3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>
      <c r="A151" s="3" t="s">
        <v>0</v>
      </c>
      <c r="B151" s="3" t="s">
        <v>13</v>
      </c>
      <c r="C151" s="11">
        <f>C148</f>
        <v>420.26</v>
      </c>
      <c r="D151" s="3" t="s">
        <v>1</v>
      </c>
      <c r="E151" s="11">
        <f>E150</f>
        <v>286</v>
      </c>
      <c r="F151" s="3" t="s">
        <v>2</v>
      </c>
      <c r="G151" s="3"/>
      <c r="H151" s="3"/>
      <c r="I151" s="3"/>
      <c r="J151" s="3"/>
      <c r="K151" s="3"/>
      <c r="L151" s="3"/>
      <c r="M151" s="3"/>
      <c r="N151" s="3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>
      <c r="A152" s="3" t="s">
        <v>0</v>
      </c>
      <c r="B152" s="3" t="s">
        <v>13</v>
      </c>
      <c r="C152" s="11">
        <f>C148</f>
        <v>420.26</v>
      </c>
      <c r="D152" s="3" t="s">
        <v>1</v>
      </c>
      <c r="E152" s="11">
        <f>E148</f>
        <v>110.50387002849152</v>
      </c>
      <c r="F152" s="3" t="s">
        <v>2</v>
      </c>
      <c r="G152" s="3"/>
      <c r="H152" s="3"/>
      <c r="I152" s="3"/>
      <c r="J152" s="3"/>
      <c r="K152" s="3"/>
      <c r="L152" s="3"/>
      <c r="M152" s="3"/>
      <c r="N152" s="3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>
      <c r="A153" s="3" t="s">
        <v>118</v>
      </c>
      <c r="B153" s="3"/>
      <c r="C153" s="10"/>
      <c r="D153" s="3"/>
      <c r="E153" s="10"/>
      <c r="F153" s="3"/>
      <c r="G153" s="2"/>
      <c r="H153" s="2"/>
      <c r="I153" s="2"/>
      <c r="J153" s="2"/>
      <c r="K153" s="2"/>
      <c r="L153" s="2"/>
      <c r="M153" s="2"/>
      <c r="N153" s="2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3" t="s">
        <v>172</v>
      </c>
      <c r="B154" s="3" t="s">
        <v>152</v>
      </c>
      <c r="C154" s="9">
        <f>C146+1</f>
        <v>14</v>
      </c>
      <c r="D154" s="3"/>
      <c r="E154" s="10"/>
      <c r="F154" s="3"/>
      <c r="G154" s="2"/>
      <c r="H154" s="2"/>
      <c r="I154" s="2"/>
      <c r="J154" s="2"/>
      <c r="K154" s="2"/>
      <c r="L154" s="2"/>
      <c r="M154" s="2"/>
      <c r="N154" s="2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3" t="s">
        <v>16</v>
      </c>
      <c r="B155" s="3" t="s">
        <v>17</v>
      </c>
      <c r="C155" s="10" t="s">
        <v>2</v>
      </c>
      <c r="D155" s="3"/>
      <c r="E155" s="10"/>
      <c r="F155" s="3"/>
      <c r="G155" s="2"/>
      <c r="H155" s="2"/>
      <c r="I155" s="2"/>
      <c r="J155" s="2"/>
      <c r="K155" s="2"/>
      <c r="L155" s="2"/>
      <c r="M155" s="2"/>
      <c r="N155" s="2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3" t="s">
        <v>0</v>
      </c>
      <c r="B156" s="3" t="s">
        <v>13</v>
      </c>
      <c r="C156" s="11">
        <f>C140</f>
        <v>187.76</v>
      </c>
      <c r="D156" s="3" t="s">
        <v>1</v>
      </c>
      <c r="E156" s="11">
        <f>E140</f>
        <v>321</v>
      </c>
      <c r="F156" s="3" t="s">
        <v>2</v>
      </c>
      <c r="G156" s="2" t="s">
        <v>173</v>
      </c>
      <c r="H156" s="2">
        <v>100</v>
      </c>
      <c r="I156" s="2"/>
      <c r="T156" s="17"/>
      <c r="U156" s="17"/>
      <c r="V156" s="17"/>
      <c r="W156" s="17"/>
      <c r="X156" s="17"/>
      <c r="Y156" s="17"/>
      <c r="Z156" s="17"/>
    </row>
    <row r="157" spans="1:26">
      <c r="A157" s="3" t="s">
        <v>0</v>
      </c>
      <c r="B157" s="3" t="s">
        <v>13</v>
      </c>
      <c r="C157" s="11">
        <f>C156</f>
        <v>187.76</v>
      </c>
      <c r="D157" s="3" t="s">
        <v>1</v>
      </c>
      <c r="E157" s="11">
        <f>E73</f>
        <v>261</v>
      </c>
      <c r="F157" s="3" t="s">
        <v>2</v>
      </c>
      <c r="G157" s="2"/>
      <c r="H157" s="2"/>
      <c r="I157" s="2"/>
      <c r="J157">
        <v>15</v>
      </c>
      <c r="T157" s="17"/>
      <c r="U157" s="17"/>
      <c r="V157" s="17"/>
      <c r="W157" s="17"/>
      <c r="X157" s="17"/>
      <c r="Y157" s="17"/>
      <c r="Z157" s="17"/>
    </row>
    <row r="158" spans="1:26">
      <c r="A158" s="3" t="s">
        <v>0</v>
      </c>
      <c r="B158" s="3" t="s">
        <v>13</v>
      </c>
      <c r="C158" s="11">
        <f>C156-H156</f>
        <v>87.759999999999991</v>
      </c>
      <c r="D158" s="3" t="s">
        <v>1</v>
      </c>
      <c r="E158" s="11">
        <f>E157</f>
        <v>261</v>
      </c>
      <c r="F158" s="3" t="s">
        <v>2</v>
      </c>
      <c r="G158" s="2"/>
      <c r="H158" s="2"/>
      <c r="I158" s="2"/>
      <c r="K158" t="s">
        <v>196</v>
      </c>
      <c r="L158" t="s">
        <v>197</v>
      </c>
      <c r="M158" t="s">
        <v>198</v>
      </c>
      <c r="N158" t="s">
        <v>199</v>
      </c>
      <c r="O158" t="s">
        <v>200</v>
      </c>
      <c r="P158" t="s">
        <v>201</v>
      </c>
      <c r="Q158" t="s">
        <v>202</v>
      </c>
      <c r="R158" t="s">
        <v>203</v>
      </c>
      <c r="S158" t="s">
        <v>204</v>
      </c>
      <c r="T158" s="17"/>
      <c r="U158" s="17"/>
      <c r="V158" s="17"/>
      <c r="W158" s="17"/>
      <c r="X158" s="17"/>
      <c r="Y158" s="17"/>
      <c r="Z158" s="17"/>
    </row>
    <row r="159" spans="1:26">
      <c r="A159" s="3" t="s">
        <v>0</v>
      </c>
      <c r="B159" s="3" t="s">
        <v>13</v>
      </c>
      <c r="C159" s="11">
        <f>C156</f>
        <v>187.76</v>
      </c>
      <c r="D159" s="3" t="s">
        <v>1</v>
      </c>
      <c r="E159" s="11">
        <f>E156</f>
        <v>321</v>
      </c>
      <c r="F159" s="3" t="s">
        <v>2</v>
      </c>
      <c r="G159" s="2"/>
      <c r="H159" s="2"/>
      <c r="I159" s="2"/>
      <c r="K159" t="s">
        <v>205</v>
      </c>
      <c r="L159" t="s">
        <v>205</v>
      </c>
      <c r="M159" t="s">
        <v>206</v>
      </c>
      <c r="N159" t="s">
        <v>206</v>
      </c>
      <c r="O159" t="s">
        <v>206</v>
      </c>
      <c r="P159" t="s">
        <v>207</v>
      </c>
      <c r="Q159" t="s">
        <v>208</v>
      </c>
      <c r="R159" t="s">
        <v>208</v>
      </c>
      <c r="S159" t="s">
        <v>209</v>
      </c>
      <c r="T159" s="17"/>
      <c r="U159" s="17"/>
      <c r="V159" s="17"/>
      <c r="W159" s="17"/>
      <c r="X159" s="17"/>
      <c r="Y159" s="17"/>
      <c r="Z159" s="17"/>
    </row>
    <row r="160" spans="1:26">
      <c r="A160" s="3" t="s">
        <v>118</v>
      </c>
      <c r="B160" s="3"/>
      <c r="C160" s="3"/>
      <c r="D160" s="3"/>
      <c r="E160" s="3"/>
      <c r="F160" s="3"/>
      <c r="G160" s="2"/>
      <c r="H160" s="2"/>
      <c r="I160" s="2"/>
      <c r="K160">
        <v>0</v>
      </c>
      <c r="L160">
        <v>-350</v>
      </c>
      <c r="M160" s="19">
        <v>0</v>
      </c>
      <c r="N160" s="19">
        <v>37.211179999999999</v>
      </c>
      <c r="O160" s="19">
        <v>37.211179999999999</v>
      </c>
      <c r="P160" s="19">
        <v>0</v>
      </c>
      <c r="Q160" s="19">
        <v>0</v>
      </c>
      <c r="R160" s="19">
        <v>0</v>
      </c>
      <c r="S160" s="19">
        <v>0</v>
      </c>
      <c r="T160" s="17"/>
      <c r="U160" s="17"/>
      <c r="V160" s="17"/>
      <c r="W160" s="17"/>
      <c r="X160" s="17"/>
      <c r="Y160" s="17"/>
      <c r="Z160" s="17"/>
    </row>
    <row r="161" spans="1:26">
      <c r="A161" s="3" t="s">
        <v>177</v>
      </c>
      <c r="B161" s="3" t="s">
        <v>152</v>
      </c>
      <c r="C161" s="9">
        <f>C154+1</f>
        <v>15</v>
      </c>
      <c r="D161" s="3"/>
      <c r="E161" s="3"/>
      <c r="F161" s="3"/>
      <c r="G161" s="2"/>
      <c r="H161" s="2"/>
      <c r="I161" s="2"/>
      <c r="K161">
        <v>1</v>
      </c>
      <c r="L161">
        <v>-350</v>
      </c>
      <c r="M161" s="19">
        <v>-0.60002339999999998</v>
      </c>
      <c r="N161" s="19">
        <v>37.203670000000002</v>
      </c>
      <c r="O161" s="19">
        <v>37.208500000000001</v>
      </c>
      <c r="P161" s="19">
        <v>18.60371</v>
      </c>
      <c r="Q161" s="19">
        <v>-1.504425E-2</v>
      </c>
      <c r="R161" s="19">
        <v>-1.504425E-2</v>
      </c>
      <c r="S161" s="19">
        <v>-4.0437550000000001E-4</v>
      </c>
      <c r="T161" s="17"/>
      <c r="U161" s="17"/>
      <c r="V161" s="17"/>
      <c r="W161" s="17"/>
      <c r="X161" s="17"/>
      <c r="Y161" s="17"/>
      <c r="Z161" s="17"/>
    </row>
    <row r="162" spans="1:26">
      <c r="A162" s="3" t="s">
        <v>16</v>
      </c>
      <c r="B162" s="3" t="s">
        <v>17</v>
      </c>
      <c r="C162" s="3" t="s">
        <v>2</v>
      </c>
      <c r="D162" s="3"/>
      <c r="E162" s="3"/>
      <c r="F162" s="3"/>
      <c r="G162" s="2"/>
      <c r="H162" s="2"/>
      <c r="I162" s="2"/>
      <c r="K162">
        <v>2</v>
      </c>
      <c r="L162">
        <v>-350</v>
      </c>
      <c r="M162" s="19">
        <v>-1.199505</v>
      </c>
      <c r="N162" s="19">
        <v>37.180990000000001</v>
      </c>
      <c r="O162" s="19">
        <v>37.200339999999997</v>
      </c>
      <c r="P162" s="19">
        <v>37.196120000000001</v>
      </c>
      <c r="Q162" s="19">
        <v>-3.0362670000000001E-2</v>
      </c>
      <c r="R162" s="19">
        <v>-3.0362670000000001E-2</v>
      </c>
      <c r="S162" s="19">
        <v>-1.6332359999999999E-3</v>
      </c>
      <c r="T162" s="17"/>
      <c r="U162" s="17"/>
      <c r="V162" s="17"/>
      <c r="W162" s="17"/>
      <c r="X162" s="17"/>
      <c r="Y162" s="17"/>
      <c r="Z162" s="17"/>
    </row>
    <row r="163" spans="1:26">
      <c r="A163" s="3" t="s">
        <v>0</v>
      </c>
      <c r="B163" s="3" t="s">
        <v>13</v>
      </c>
      <c r="C163" s="10">
        <f>C89</f>
        <v>-244.26</v>
      </c>
      <c r="D163" s="3" t="s">
        <v>1</v>
      </c>
      <c r="E163" s="10">
        <f>E89</f>
        <v>261</v>
      </c>
      <c r="F163" s="3" t="s">
        <v>2</v>
      </c>
      <c r="G163" s="2" t="s">
        <v>159</v>
      </c>
      <c r="H163" s="2">
        <v>20</v>
      </c>
      <c r="I163" s="2"/>
      <c r="K163">
        <v>3</v>
      </c>
      <c r="L163">
        <v>-350</v>
      </c>
      <c r="M163" s="19">
        <v>-1.797865</v>
      </c>
      <c r="N163" s="19">
        <v>37.142780000000002</v>
      </c>
      <c r="O163" s="19">
        <v>37.18627</v>
      </c>
      <c r="P163" s="19">
        <v>55.765689999999999</v>
      </c>
      <c r="Q163" s="19">
        <v>-4.614538E-2</v>
      </c>
      <c r="R163" s="19">
        <v>-4.614538E-2</v>
      </c>
      <c r="S163" s="19">
        <v>-3.7271349999999999E-3</v>
      </c>
      <c r="T163" s="17"/>
      <c r="U163" s="17"/>
      <c r="V163" s="17"/>
      <c r="W163" s="17"/>
      <c r="X163" s="17"/>
      <c r="Y163" s="17"/>
      <c r="Z163" s="17"/>
    </row>
    <row r="164" spans="1:26">
      <c r="A164" s="3" t="s">
        <v>0</v>
      </c>
      <c r="B164" s="3" t="s">
        <v>13</v>
      </c>
      <c r="C164" s="10">
        <f>C163+H164</f>
        <v>-124.25999999999999</v>
      </c>
      <c r="D164" s="3" t="s">
        <v>1</v>
      </c>
      <c r="E164" s="10">
        <f>E163</f>
        <v>261</v>
      </c>
      <c r="F164" s="3" t="s">
        <v>2</v>
      </c>
      <c r="G164" s="2" t="s">
        <v>178</v>
      </c>
      <c r="H164" s="2">
        <v>120</v>
      </c>
      <c r="I164" s="2"/>
      <c r="K164">
        <v>4</v>
      </c>
      <c r="L164">
        <v>-350</v>
      </c>
      <c r="M164" s="19">
        <v>-2.3907229999999999</v>
      </c>
      <c r="N164" s="19">
        <v>37.090159999999997</v>
      </c>
      <c r="O164" s="19">
        <v>37.16713</v>
      </c>
      <c r="P164" s="19">
        <v>74.30641</v>
      </c>
      <c r="Q164" s="19">
        <v>-6.3537300000000005E-2</v>
      </c>
      <c r="R164" s="19">
        <v>-6.3537300000000005E-2</v>
      </c>
      <c r="S164" s="19">
        <v>-6.8522000000000001E-3</v>
      </c>
      <c r="T164" s="17"/>
      <c r="U164" s="17"/>
      <c r="V164" s="17"/>
      <c r="W164" s="17"/>
      <c r="X164" s="17"/>
      <c r="Y164" s="17"/>
      <c r="Z164" s="17"/>
    </row>
    <row r="165" spans="1:26">
      <c r="A165" s="3" t="s">
        <v>0</v>
      </c>
      <c r="B165" s="3" t="s">
        <v>13</v>
      </c>
      <c r="C165" s="10">
        <f>C164-H164/4</f>
        <v>-154.26</v>
      </c>
      <c r="D165" s="3" t="s">
        <v>1</v>
      </c>
      <c r="E165" s="10">
        <f>E164+H163</f>
        <v>281</v>
      </c>
      <c r="F165" s="3" t="s">
        <v>2</v>
      </c>
      <c r="G165" s="2"/>
      <c r="H165" s="2"/>
      <c r="I165" s="2"/>
      <c r="K165">
        <v>5</v>
      </c>
      <c r="L165">
        <v>-350</v>
      </c>
      <c r="M165" s="19">
        <v>-2.995377</v>
      </c>
      <c r="N165" s="19">
        <v>36.99286</v>
      </c>
      <c r="O165" s="19">
        <v>37.113930000000003</v>
      </c>
      <c r="P165" s="19">
        <v>92.774709999999999</v>
      </c>
      <c r="Q165" s="19">
        <v>-8.5437490000000005E-2</v>
      </c>
      <c r="R165" s="19">
        <v>-8.5437490000000005E-2</v>
      </c>
      <c r="S165" s="19">
        <v>-1.154783E-2</v>
      </c>
      <c r="T165" s="17"/>
      <c r="U165" s="17"/>
      <c r="V165" s="17"/>
      <c r="W165" s="17"/>
      <c r="X165" s="17"/>
      <c r="Y165" s="17"/>
      <c r="Z165" s="17"/>
    </row>
    <row r="166" spans="1:26">
      <c r="A166" s="3" t="s">
        <v>0</v>
      </c>
      <c r="B166" s="3" t="s">
        <v>13</v>
      </c>
      <c r="C166" s="10">
        <f>C165-H164/2</f>
        <v>-214.26</v>
      </c>
      <c r="D166" s="3" t="s">
        <v>1</v>
      </c>
      <c r="E166" s="10">
        <f>E165</f>
        <v>281</v>
      </c>
      <c r="F166" s="3" t="s">
        <v>2</v>
      </c>
      <c r="G166" s="2"/>
      <c r="H166" s="2"/>
      <c r="I166" s="2"/>
      <c r="J166">
        <v>35</v>
      </c>
      <c r="T166" s="17"/>
      <c r="U166" s="17"/>
      <c r="V166" s="17"/>
      <c r="W166" s="17"/>
      <c r="X166" s="17"/>
      <c r="Y166" s="17"/>
      <c r="Z166" s="17"/>
    </row>
    <row r="167" spans="1:26">
      <c r="A167" s="3" t="s">
        <v>0</v>
      </c>
      <c r="B167" s="3" t="s">
        <v>13</v>
      </c>
      <c r="C167" s="10">
        <f>C163</f>
        <v>-244.26</v>
      </c>
      <c r="D167" s="3" t="s">
        <v>1</v>
      </c>
      <c r="E167" s="10">
        <f>E163</f>
        <v>261</v>
      </c>
      <c r="F167" s="3" t="s">
        <v>2</v>
      </c>
      <c r="G167" s="2"/>
      <c r="H167" s="2"/>
      <c r="I167" s="2"/>
      <c r="K167" t="s">
        <v>196</v>
      </c>
      <c r="L167" t="s">
        <v>197</v>
      </c>
      <c r="M167" t="s">
        <v>198</v>
      </c>
      <c r="N167" t="s">
        <v>199</v>
      </c>
      <c r="O167" t="s">
        <v>200</v>
      </c>
      <c r="P167" t="s">
        <v>201</v>
      </c>
      <c r="Q167" t="s">
        <v>202</v>
      </c>
      <c r="R167" t="s">
        <v>203</v>
      </c>
      <c r="S167" t="s">
        <v>204</v>
      </c>
      <c r="T167" s="17"/>
      <c r="U167" s="17"/>
      <c r="V167" s="17"/>
      <c r="W167" s="17"/>
      <c r="X167" s="17"/>
      <c r="Y167" s="17"/>
      <c r="Z167" s="17"/>
    </row>
    <row r="168" spans="1:26">
      <c r="A168" s="3" t="s">
        <v>118</v>
      </c>
      <c r="B168" s="3"/>
      <c r="C168" s="3"/>
      <c r="D168" s="3"/>
      <c r="E168" s="3"/>
      <c r="F168" s="3"/>
      <c r="G168" s="2"/>
      <c r="H168" s="2"/>
      <c r="I168" s="2"/>
      <c r="K168" t="s">
        <v>205</v>
      </c>
      <c r="L168" t="s">
        <v>205</v>
      </c>
      <c r="M168" t="s">
        <v>206</v>
      </c>
      <c r="N168" t="s">
        <v>206</v>
      </c>
      <c r="O168" t="s">
        <v>206</v>
      </c>
      <c r="P168" t="s">
        <v>207</v>
      </c>
      <c r="Q168" t="s">
        <v>208</v>
      </c>
      <c r="R168" t="s">
        <v>208</v>
      </c>
      <c r="S168" t="s">
        <v>209</v>
      </c>
      <c r="T168" s="17"/>
      <c r="U168" s="17"/>
      <c r="V168" s="17"/>
      <c r="W168" s="17"/>
      <c r="X168" s="17"/>
      <c r="Y168" s="17"/>
      <c r="Z168" s="17"/>
    </row>
    <row r="169" spans="1:26">
      <c r="A169" s="3" t="s">
        <v>182</v>
      </c>
      <c r="B169" s="3" t="s">
        <v>152</v>
      </c>
      <c r="C169" s="9">
        <f>1+C161</f>
        <v>16</v>
      </c>
      <c r="D169" s="3"/>
      <c r="E169" s="3"/>
      <c r="F169" s="3"/>
      <c r="G169" s="2"/>
      <c r="H169" s="2"/>
      <c r="I169" s="2"/>
      <c r="K169">
        <v>0</v>
      </c>
      <c r="L169">
        <v>-355</v>
      </c>
      <c r="M169" s="19">
        <v>0</v>
      </c>
      <c r="N169" s="19">
        <v>17.875209999999999</v>
      </c>
      <c r="O169" s="19">
        <v>17.875209999999999</v>
      </c>
      <c r="P169" s="19">
        <v>0</v>
      </c>
      <c r="Q169" s="19">
        <v>0</v>
      </c>
      <c r="R169" s="19">
        <v>0</v>
      </c>
      <c r="S169" s="19">
        <v>0</v>
      </c>
      <c r="T169" s="17"/>
      <c r="U169" s="17"/>
      <c r="V169" s="17"/>
      <c r="W169" s="17"/>
      <c r="X169" s="17"/>
      <c r="Y169" s="17"/>
      <c r="Z169" s="17"/>
    </row>
    <row r="170" spans="1:26">
      <c r="A170" s="3" t="s">
        <v>16</v>
      </c>
      <c r="B170" s="3" t="s">
        <v>17</v>
      </c>
      <c r="C170" s="3" t="s">
        <v>2</v>
      </c>
      <c r="D170" s="3"/>
      <c r="E170" s="3"/>
      <c r="F170" s="3"/>
      <c r="G170" s="2"/>
      <c r="H170" s="2"/>
      <c r="I170" s="2"/>
      <c r="K170">
        <v>1</v>
      </c>
      <c r="L170">
        <v>-355</v>
      </c>
      <c r="M170" s="19">
        <v>-0.31002730000000001</v>
      </c>
      <c r="N170" s="19">
        <v>17.87107</v>
      </c>
      <c r="O170" s="19">
        <v>17.873760000000001</v>
      </c>
      <c r="P170" s="19">
        <v>8.9365710000000007</v>
      </c>
      <c r="Q170" s="19">
        <v>-8.3040309999999999E-3</v>
      </c>
      <c r="R170" s="19">
        <v>-8.3040309999999999E-3</v>
      </c>
      <c r="S170" s="19">
        <v>-4.6466340000000001E-4</v>
      </c>
      <c r="T170" s="17"/>
      <c r="U170" s="17"/>
      <c r="V170" s="17"/>
      <c r="W170" s="17"/>
      <c r="X170" s="17"/>
      <c r="Y170" s="17"/>
      <c r="Z170" s="17"/>
    </row>
    <row r="171" spans="1:26">
      <c r="A171" s="3" t="s">
        <v>0</v>
      </c>
      <c r="B171" s="3" t="s">
        <v>13</v>
      </c>
      <c r="C171" s="10">
        <v>250</v>
      </c>
      <c r="D171" s="3" t="s">
        <v>1</v>
      </c>
      <c r="E171" s="10">
        <f>E142</f>
        <v>286</v>
      </c>
      <c r="F171" s="3" t="s">
        <v>2</v>
      </c>
      <c r="G171" s="2" t="s">
        <v>183</v>
      </c>
      <c r="H171" s="2">
        <v>63</v>
      </c>
      <c r="I171" s="2"/>
      <c r="K171">
        <v>2</v>
      </c>
      <c r="L171">
        <v>-355</v>
      </c>
      <c r="M171" s="19">
        <v>-0.61970769999999997</v>
      </c>
      <c r="N171" s="19">
        <v>17.858560000000001</v>
      </c>
      <c r="O171" s="19">
        <v>17.869309999999999</v>
      </c>
      <c r="P171" s="19">
        <v>17.866900000000001</v>
      </c>
      <c r="Q171" s="19">
        <v>-1.6752920000000001E-2</v>
      </c>
      <c r="R171" s="19">
        <v>-1.6752920000000001E-2</v>
      </c>
      <c r="S171" s="19">
        <v>-1.876178E-3</v>
      </c>
      <c r="T171" s="17"/>
      <c r="U171" s="17"/>
      <c r="V171" s="17"/>
      <c r="W171" s="17"/>
      <c r="X171" s="17"/>
      <c r="Y171" s="17"/>
      <c r="Z171" s="17"/>
    </row>
    <row r="172" spans="1:26">
      <c r="A172" s="3" t="s">
        <v>0</v>
      </c>
      <c r="B172" s="3" t="s">
        <v>13</v>
      </c>
      <c r="C172" s="10">
        <f>C171+H172</f>
        <v>280</v>
      </c>
      <c r="D172" s="3" t="s">
        <v>1</v>
      </c>
      <c r="E172" s="10">
        <f>E171-H171</f>
        <v>223</v>
      </c>
      <c r="F172" s="3" t="s">
        <v>2</v>
      </c>
      <c r="G172" s="2" t="s">
        <v>184</v>
      </c>
      <c r="H172" s="2">
        <v>30</v>
      </c>
      <c r="I172" s="2"/>
      <c r="K172">
        <v>3</v>
      </c>
      <c r="L172">
        <v>-355</v>
      </c>
      <c r="M172" s="19">
        <v>-0.92867390000000005</v>
      </c>
      <c r="N172" s="19">
        <v>17.837479999999999</v>
      </c>
      <c r="O172" s="19">
        <v>17.861640000000001</v>
      </c>
      <c r="P172" s="19">
        <v>26.78463</v>
      </c>
      <c r="Q172" s="19">
        <v>-2.544606E-2</v>
      </c>
      <c r="R172" s="19">
        <v>-2.544606E-2</v>
      </c>
      <c r="S172" s="19">
        <v>-4.2796500000000003E-3</v>
      </c>
      <c r="T172" s="17"/>
      <c r="U172" s="17"/>
      <c r="V172" s="17"/>
      <c r="W172" s="17"/>
      <c r="X172" s="17"/>
      <c r="Y172" s="17"/>
      <c r="Z172" s="17"/>
    </row>
    <row r="173" spans="1:26">
      <c r="A173" s="3" t="s">
        <v>0</v>
      </c>
      <c r="B173" s="3" t="s">
        <v>13</v>
      </c>
      <c r="C173" s="10">
        <f>C172+H173</f>
        <v>283</v>
      </c>
      <c r="D173" s="3" t="s">
        <v>1</v>
      </c>
      <c r="E173" s="10">
        <f>E172</f>
        <v>223</v>
      </c>
      <c r="F173" s="3" t="s">
        <v>2</v>
      </c>
      <c r="G173" s="2" t="s">
        <v>185</v>
      </c>
      <c r="H173" s="2">
        <v>3</v>
      </c>
      <c r="I173" s="2"/>
      <c r="K173">
        <v>4</v>
      </c>
      <c r="L173">
        <v>-355</v>
      </c>
      <c r="M173" s="19">
        <v>-1.2344139999999999</v>
      </c>
      <c r="N173" s="19">
        <v>17.80847</v>
      </c>
      <c r="O173" s="19">
        <v>17.851199999999999</v>
      </c>
      <c r="P173" s="19">
        <v>35.686480000000003</v>
      </c>
      <c r="Q173" s="19">
        <v>-3.5017569999999998E-2</v>
      </c>
      <c r="R173" s="19">
        <v>-3.5017569999999998E-2</v>
      </c>
      <c r="S173" s="19">
        <v>-7.8653739999999996E-3</v>
      </c>
      <c r="T173" s="17"/>
      <c r="U173" s="17"/>
      <c r="V173" s="17"/>
      <c r="W173" s="17"/>
      <c r="X173" s="17"/>
      <c r="Y173" s="17"/>
      <c r="Z173" s="17"/>
    </row>
    <row r="174" spans="1:26">
      <c r="A174" s="3" t="s">
        <v>0</v>
      </c>
      <c r="B174" s="3" t="s">
        <v>13</v>
      </c>
      <c r="C174" s="10">
        <f>C173+H174</f>
        <v>305</v>
      </c>
      <c r="D174" s="3" t="s">
        <v>1</v>
      </c>
      <c r="E174" s="10">
        <f>E171</f>
        <v>286</v>
      </c>
      <c r="F174" s="3" t="s">
        <v>2</v>
      </c>
      <c r="G174" s="2" t="s">
        <v>190</v>
      </c>
      <c r="H174" s="2">
        <v>22</v>
      </c>
      <c r="I174" s="2"/>
      <c r="K174">
        <v>5</v>
      </c>
      <c r="L174">
        <v>-355</v>
      </c>
      <c r="M174" s="19">
        <v>-1.546694</v>
      </c>
      <c r="N174" s="19">
        <v>17.755199999999999</v>
      </c>
      <c r="O174" s="19">
        <v>17.82244</v>
      </c>
      <c r="P174" s="19">
        <v>44.548549999999999</v>
      </c>
      <c r="Q174" s="19">
        <v>-4.6892950000000003E-2</v>
      </c>
      <c r="R174" s="19">
        <v>-4.6892950000000003E-2</v>
      </c>
      <c r="S174" s="19">
        <v>-1.3205410000000001E-2</v>
      </c>
      <c r="T174" s="17"/>
      <c r="U174" s="17"/>
      <c r="V174" s="17"/>
      <c r="W174" s="17"/>
      <c r="X174" s="17"/>
      <c r="Y174" s="17"/>
      <c r="Z174" s="17"/>
    </row>
    <row r="175" spans="1:26">
      <c r="A175" s="3" t="s">
        <v>0</v>
      </c>
      <c r="B175" s="3" t="s">
        <v>13</v>
      </c>
      <c r="C175" s="10">
        <f>C171</f>
        <v>250</v>
      </c>
      <c r="D175" s="3" t="s">
        <v>1</v>
      </c>
      <c r="E175" s="10">
        <f>E171</f>
        <v>286</v>
      </c>
      <c r="F175" s="3" t="s">
        <v>2</v>
      </c>
      <c r="G175" s="2"/>
      <c r="H175" s="2"/>
      <c r="I175" s="2"/>
      <c r="J175">
        <v>65</v>
      </c>
      <c r="T175" s="17"/>
      <c r="U175" s="17"/>
      <c r="V175" s="17"/>
      <c r="W175" s="17"/>
      <c r="X175" s="17"/>
      <c r="Y175" s="17"/>
      <c r="Z175" s="17"/>
    </row>
    <row r="176" spans="1:26">
      <c r="A176" s="3" t="s">
        <v>118</v>
      </c>
      <c r="B176" s="3"/>
      <c r="C176" s="3"/>
      <c r="D176" s="3"/>
      <c r="E176" s="3"/>
      <c r="F176" s="3"/>
      <c r="G176" s="2"/>
      <c r="H176" s="2"/>
      <c r="I176" s="2"/>
      <c r="K176" t="s">
        <v>196</v>
      </c>
      <c r="L176" t="s">
        <v>197</v>
      </c>
      <c r="M176" t="s">
        <v>198</v>
      </c>
      <c r="N176" t="s">
        <v>199</v>
      </c>
      <c r="O176" t="s">
        <v>200</v>
      </c>
      <c r="P176" t="s">
        <v>201</v>
      </c>
      <c r="Q176" t="s">
        <v>202</v>
      </c>
      <c r="R176" t="s">
        <v>203</v>
      </c>
      <c r="S176" t="s">
        <v>204</v>
      </c>
      <c r="T176" s="17"/>
      <c r="U176" s="17"/>
      <c r="V176" s="17"/>
      <c r="W176" s="17"/>
      <c r="X176" s="17"/>
      <c r="Y176" s="17"/>
      <c r="Z176" s="17"/>
    </row>
    <row r="177" spans="1:26">
      <c r="A177" s="3" t="s">
        <v>182</v>
      </c>
      <c r="B177" s="3" t="s">
        <v>152</v>
      </c>
      <c r="C177" s="9">
        <f>C169+1</f>
        <v>17</v>
      </c>
      <c r="D177" s="3"/>
      <c r="E177" s="3"/>
      <c r="F177" s="3"/>
      <c r="G177" s="2"/>
      <c r="H177" s="2"/>
      <c r="I177" s="2"/>
      <c r="K177" t="s">
        <v>205</v>
      </c>
      <c r="L177" t="s">
        <v>205</v>
      </c>
      <c r="M177" t="s">
        <v>206</v>
      </c>
      <c r="N177" t="s">
        <v>206</v>
      </c>
      <c r="O177" t="s">
        <v>206</v>
      </c>
      <c r="P177" t="s">
        <v>207</v>
      </c>
      <c r="Q177" t="s">
        <v>208</v>
      </c>
      <c r="R177" t="s">
        <v>208</v>
      </c>
      <c r="S177" t="s">
        <v>209</v>
      </c>
      <c r="T177" s="17"/>
      <c r="U177" s="17"/>
      <c r="V177" s="17"/>
      <c r="W177" s="17"/>
      <c r="X177" s="17"/>
      <c r="Y177" s="17"/>
      <c r="Z177" s="17"/>
    </row>
    <row r="178" spans="1:26">
      <c r="A178" s="3" t="s">
        <v>186</v>
      </c>
      <c r="B178" s="3" t="s">
        <v>17</v>
      </c>
      <c r="C178" s="3" t="s">
        <v>2</v>
      </c>
      <c r="D178" s="3"/>
      <c r="E178" s="3"/>
      <c r="F178" s="3"/>
      <c r="G178" s="2"/>
      <c r="H178" s="2"/>
      <c r="I178" s="2"/>
      <c r="K178">
        <v>0</v>
      </c>
      <c r="L178">
        <v>-350</v>
      </c>
      <c r="M178" s="19">
        <v>0</v>
      </c>
      <c r="N178" s="19">
        <v>12.299720000000001</v>
      </c>
      <c r="O178" s="19">
        <v>12.299720000000001</v>
      </c>
      <c r="P178" s="19">
        <v>0</v>
      </c>
      <c r="Q178" s="19">
        <v>0</v>
      </c>
      <c r="R178" s="19">
        <v>0</v>
      </c>
      <c r="S178" s="19">
        <v>0</v>
      </c>
      <c r="T178" s="17"/>
      <c r="U178" s="17"/>
      <c r="V178" s="17"/>
      <c r="W178" s="17"/>
      <c r="X178" s="17"/>
      <c r="Y178" s="17"/>
      <c r="Z178" s="17"/>
    </row>
    <row r="179" spans="1:26">
      <c r="A179" s="3" t="s">
        <v>187</v>
      </c>
      <c r="B179" s="3" t="s">
        <v>13</v>
      </c>
      <c r="C179" s="10">
        <f>C171</f>
        <v>250</v>
      </c>
      <c r="D179" s="3" t="s">
        <v>1</v>
      </c>
      <c r="E179" s="10">
        <f>E171</f>
        <v>286</v>
      </c>
      <c r="F179" s="3" t="s">
        <v>2</v>
      </c>
      <c r="G179" s="2"/>
      <c r="H179" s="2"/>
      <c r="I179" s="2"/>
      <c r="K179">
        <v>1</v>
      </c>
      <c r="L179">
        <v>-350</v>
      </c>
      <c r="M179" s="19">
        <v>-0.20147609999999999</v>
      </c>
      <c r="N179" s="19">
        <v>12.296670000000001</v>
      </c>
      <c r="O179" s="19">
        <v>12.29832</v>
      </c>
      <c r="P179" s="19">
        <v>6.1490970000000003</v>
      </c>
      <c r="Q179" s="19">
        <v>-6.1149100000000003E-3</v>
      </c>
      <c r="R179" s="19">
        <v>-6.1149100000000003E-3</v>
      </c>
      <c r="S179" s="19">
        <v>-4.9728190000000001E-4</v>
      </c>
      <c r="T179" s="17"/>
      <c r="U179" s="17"/>
      <c r="V179" s="17"/>
      <c r="W179" s="17"/>
      <c r="X179" s="17"/>
      <c r="Y179" s="17"/>
      <c r="Z179" s="17"/>
    </row>
    <row r="180" spans="1:26">
      <c r="A180" s="3" t="s">
        <v>187</v>
      </c>
      <c r="B180" s="3" t="s">
        <v>13</v>
      </c>
      <c r="C180" s="10">
        <f>C143</f>
        <v>187.76</v>
      </c>
      <c r="D180" s="3" t="s">
        <v>1</v>
      </c>
      <c r="E180" s="10">
        <f>E143</f>
        <v>286</v>
      </c>
      <c r="F180" s="3" t="s">
        <v>2</v>
      </c>
      <c r="G180" s="2"/>
      <c r="H180" s="2"/>
      <c r="I180" s="2"/>
      <c r="K180">
        <v>2</v>
      </c>
      <c r="L180">
        <v>-350</v>
      </c>
      <c r="M180" s="19">
        <v>-0.40259850000000003</v>
      </c>
      <c r="N180" s="19">
        <v>12.287459999999999</v>
      </c>
      <c r="O180" s="19">
        <v>12.29405</v>
      </c>
      <c r="P180" s="19">
        <v>12.2936</v>
      </c>
      <c r="Q180" s="19">
        <v>-1.231995E-2</v>
      </c>
      <c r="R180" s="19">
        <v>-1.231995E-2</v>
      </c>
      <c r="S180" s="19">
        <v>-2.005288E-3</v>
      </c>
      <c r="T180" s="17"/>
      <c r="U180" s="17"/>
      <c r="V180" s="17"/>
      <c r="W180" s="17"/>
      <c r="X180" s="17"/>
      <c r="Y180" s="17"/>
      <c r="Z180" s="17"/>
    </row>
    <row r="181" spans="1:26">
      <c r="A181" s="3" t="s">
        <v>187</v>
      </c>
      <c r="B181" s="3" t="s">
        <v>13</v>
      </c>
      <c r="C181" s="10">
        <f>C129</f>
        <v>187.76</v>
      </c>
      <c r="D181" s="3" t="s">
        <v>1</v>
      </c>
      <c r="E181" s="10">
        <f>E129</f>
        <v>246</v>
      </c>
      <c r="F181" s="3" t="s">
        <v>2</v>
      </c>
      <c r="G181" s="2"/>
      <c r="H181" s="2"/>
      <c r="I181" s="2"/>
      <c r="K181">
        <v>3</v>
      </c>
      <c r="L181">
        <v>-350</v>
      </c>
      <c r="M181" s="19">
        <v>-0.60300379999999998</v>
      </c>
      <c r="N181" s="19">
        <v>12.271979999999999</v>
      </c>
      <c r="O181" s="19">
        <v>12.28678</v>
      </c>
      <c r="P181" s="19">
        <v>18.428840000000001</v>
      </c>
      <c r="Q181" s="19">
        <v>-1.867334E-2</v>
      </c>
      <c r="R181" s="19">
        <v>-1.867334E-2</v>
      </c>
      <c r="S181" s="19">
        <v>-4.564874E-3</v>
      </c>
      <c r="T181" s="17"/>
      <c r="U181" s="17"/>
      <c r="V181" s="17"/>
      <c r="W181" s="17"/>
      <c r="X181" s="17"/>
      <c r="Y181" s="17"/>
      <c r="Z181" s="17"/>
    </row>
    <row r="182" spans="1:26">
      <c r="A182" s="3" t="s">
        <v>187</v>
      </c>
      <c r="B182" s="3" t="s">
        <v>13</v>
      </c>
      <c r="C182" s="10">
        <f>C130</f>
        <v>200.26</v>
      </c>
      <c r="D182" s="3" t="s">
        <v>1</v>
      </c>
      <c r="E182" s="10">
        <f>E130</f>
        <v>231</v>
      </c>
      <c r="F182" s="3" t="s">
        <v>2</v>
      </c>
      <c r="G182" s="2"/>
      <c r="H182" s="2"/>
      <c r="I182" s="2"/>
      <c r="K182">
        <v>4</v>
      </c>
      <c r="L182">
        <v>-350</v>
      </c>
      <c r="M182" s="19">
        <v>-0.80053099999999999</v>
      </c>
      <c r="N182" s="19">
        <v>12.25084</v>
      </c>
      <c r="O182" s="19">
        <v>12.276960000000001</v>
      </c>
      <c r="P182" s="19">
        <v>24.552849999999999</v>
      </c>
      <c r="Q182" s="19">
        <v>-2.5704979999999999E-2</v>
      </c>
      <c r="R182" s="19">
        <v>-2.5704979999999999E-2</v>
      </c>
      <c r="S182" s="19">
        <v>-8.3928890000000006E-3</v>
      </c>
      <c r="T182" s="17"/>
      <c r="U182" s="17"/>
      <c r="V182" s="17"/>
      <c r="W182" s="17"/>
      <c r="X182" s="17"/>
      <c r="Y182" s="17"/>
      <c r="Z182" s="17"/>
    </row>
    <row r="183" spans="1:26">
      <c r="A183" s="3" t="s">
        <v>187</v>
      </c>
      <c r="B183" s="3" t="s">
        <v>13</v>
      </c>
      <c r="C183" s="10">
        <f>(C171+C172)/2</f>
        <v>265</v>
      </c>
      <c r="D183" s="3" t="s">
        <v>1</v>
      </c>
      <c r="E183" s="10">
        <f>(E171+E172)/2</f>
        <v>254.5</v>
      </c>
      <c r="F183" s="3" t="s">
        <v>2</v>
      </c>
      <c r="G183" s="2"/>
      <c r="H183" s="2"/>
      <c r="I183" s="2"/>
      <c r="K183">
        <v>5</v>
      </c>
      <c r="L183">
        <v>-350</v>
      </c>
      <c r="M183" s="19">
        <v>-1.002796</v>
      </c>
      <c r="N183" s="19">
        <v>12.21186</v>
      </c>
      <c r="O183" s="19">
        <v>12.25296</v>
      </c>
      <c r="P183" s="19">
        <v>30.646629999999998</v>
      </c>
      <c r="Q183" s="19">
        <v>-3.4154110000000001E-2</v>
      </c>
      <c r="R183" s="19">
        <v>-3.4154110000000001E-2</v>
      </c>
      <c r="S183" s="19">
        <v>-1.398399E-2</v>
      </c>
      <c r="T183" s="17"/>
      <c r="U183" s="17"/>
      <c r="V183" s="17"/>
      <c r="W183" s="17"/>
      <c r="X183" s="17"/>
      <c r="Y183" s="17"/>
      <c r="Z183" s="17"/>
    </row>
    <row r="184" spans="1:26">
      <c r="A184" s="3" t="s">
        <v>187</v>
      </c>
      <c r="B184" s="3" t="s">
        <v>13</v>
      </c>
      <c r="C184" s="10">
        <f>C179</f>
        <v>250</v>
      </c>
      <c r="D184" s="3" t="s">
        <v>1</v>
      </c>
      <c r="E184" s="10">
        <f>E179</f>
        <v>286</v>
      </c>
      <c r="F184" s="3" t="s">
        <v>2</v>
      </c>
      <c r="G184" s="2"/>
      <c r="H184" s="2"/>
      <c r="I184" s="2"/>
      <c r="J184" s="2"/>
      <c r="K184" s="2"/>
      <c r="L184" s="2"/>
      <c r="M184" s="2"/>
      <c r="N184" s="2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3" t="s">
        <v>118</v>
      </c>
      <c r="B185" s="3"/>
      <c r="C185" s="10"/>
      <c r="D185" s="3"/>
      <c r="E185" s="10"/>
      <c r="F185" s="3"/>
      <c r="G185" s="2"/>
      <c r="H185" s="2"/>
      <c r="I185" s="2"/>
      <c r="J185" s="2"/>
      <c r="K185" s="2"/>
      <c r="L185" s="2"/>
      <c r="M185" s="2"/>
      <c r="N185" s="2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3" t="s">
        <v>192</v>
      </c>
      <c r="B186" s="3" t="s">
        <v>152</v>
      </c>
      <c r="C186" s="18">
        <f>C177+1</f>
        <v>18</v>
      </c>
    </row>
    <row r="187" spans="1:26">
      <c r="A187" s="3" t="s">
        <v>16</v>
      </c>
      <c r="B187" s="3" t="s">
        <v>17</v>
      </c>
      <c r="C187" s="3" t="s">
        <v>2</v>
      </c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3" t="s">
        <v>0</v>
      </c>
      <c r="B188" s="3" t="s">
        <v>13</v>
      </c>
      <c r="C188" s="10">
        <f>C112</f>
        <v>-244.26</v>
      </c>
      <c r="D188" s="3" t="s">
        <v>1</v>
      </c>
      <c r="E188" s="10">
        <f>E112</f>
        <v>52.078481183007696</v>
      </c>
      <c r="F188" s="3" t="s">
        <v>2</v>
      </c>
      <c r="G188" s="2" t="s">
        <v>193</v>
      </c>
      <c r="H188" s="2">
        <v>65</v>
      </c>
      <c r="I188" s="2"/>
      <c r="J188" s="2"/>
      <c r="K188" s="2"/>
      <c r="L188" s="2"/>
      <c r="M188" s="2"/>
      <c r="N188" s="2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3" t="s">
        <v>0</v>
      </c>
      <c r="B189" s="3" t="s">
        <v>13</v>
      </c>
      <c r="C189" s="10">
        <f>C188-H188+H190</f>
        <v>-299.26</v>
      </c>
      <c r="D189" s="3" t="s">
        <v>1</v>
      </c>
      <c r="E189" s="10">
        <f>TAN(M5/180*3.1415926535)*(C189-K3)+H110</f>
        <v>27.590903491827227</v>
      </c>
      <c r="F189" s="3" t="s">
        <v>2</v>
      </c>
      <c r="G189" s="2" t="s">
        <v>194</v>
      </c>
      <c r="H189" s="2">
        <v>90</v>
      </c>
      <c r="I189" s="2"/>
      <c r="J189" s="2"/>
      <c r="K189" s="2"/>
      <c r="L189" s="2"/>
      <c r="M189" s="2"/>
      <c r="N189" s="2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3" t="s">
        <v>0</v>
      </c>
      <c r="B190" s="3" t="s">
        <v>13</v>
      </c>
      <c r="C190" s="10">
        <f>C189-H190</f>
        <v>-309.26</v>
      </c>
      <c r="D190" s="3" t="s">
        <v>1</v>
      </c>
      <c r="E190" s="10">
        <f>E189</f>
        <v>27.590903491827227</v>
      </c>
      <c r="F190" s="3" t="s">
        <v>2</v>
      </c>
      <c r="G190" s="2" t="s">
        <v>195</v>
      </c>
      <c r="H190" s="2">
        <v>10</v>
      </c>
      <c r="I190" s="2"/>
      <c r="J190" s="2"/>
      <c r="K190" s="2"/>
      <c r="L190" s="2"/>
      <c r="M190" s="2"/>
      <c r="N190" s="2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3" t="s">
        <v>0</v>
      </c>
      <c r="B191" s="3" t="s">
        <v>13</v>
      </c>
      <c r="C191" s="10">
        <f>C188</f>
        <v>-244.26</v>
      </c>
      <c r="D191" s="3" t="s">
        <v>1</v>
      </c>
      <c r="E191" s="10">
        <f>E188+H189</f>
        <v>142.07848118300768</v>
      </c>
      <c r="F191" s="3" t="s">
        <v>2</v>
      </c>
      <c r="G191" s="2"/>
      <c r="H191" s="2"/>
      <c r="I191" s="2"/>
      <c r="J191" s="2"/>
      <c r="K191" s="2"/>
      <c r="L191" s="2"/>
      <c r="M191" s="2"/>
      <c r="N191" s="2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3" t="s">
        <v>0</v>
      </c>
      <c r="B192" s="3" t="s">
        <v>13</v>
      </c>
      <c r="C192" s="10">
        <f>C188</f>
        <v>-244.26</v>
      </c>
      <c r="D192" s="3" t="s">
        <v>1</v>
      </c>
      <c r="E192" s="10">
        <f>E188</f>
        <v>52.078481183007696</v>
      </c>
      <c r="F192" s="3" t="s">
        <v>2</v>
      </c>
      <c r="G192" s="2"/>
      <c r="H192" s="2"/>
      <c r="I192" s="2"/>
      <c r="J192" s="2"/>
      <c r="K192" s="2"/>
      <c r="L192" s="2"/>
      <c r="M192" s="2"/>
      <c r="N192" s="2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workbookViewId="0">
      <pane ySplit="11" topLeftCell="A115" activePane="bottomLeft" state="frozen"/>
      <selection pane="bottomLeft" activeCell="K3" sqref="K3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6" width="8.83203125" style="2"/>
    <col min="7" max="7" width="13.83203125" style="2" customWidth="1"/>
    <col min="8" max="16384" width="8.83203125" style="2"/>
  </cols>
  <sheetData>
    <row r="1" spans="1:14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4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0.33</v>
      </c>
      <c r="K2" s="3" t="s">
        <v>132</v>
      </c>
    </row>
    <row r="3" spans="1:14" s="3" customFormat="1">
      <c r="A3" s="3" t="s">
        <v>118</v>
      </c>
      <c r="D3" s="3" t="s">
        <v>35</v>
      </c>
      <c r="E3" s="3">
        <v>15.3</v>
      </c>
      <c r="J3" s="3" t="s">
        <v>169</v>
      </c>
      <c r="K3" s="3">
        <v>-200</v>
      </c>
      <c r="L3" s="3">
        <v>0</v>
      </c>
      <c r="M3" s="3">
        <v>13</v>
      </c>
      <c r="N3" s="3">
        <v>400</v>
      </c>
    </row>
    <row r="4" spans="1:14" s="3" customFormat="1">
      <c r="A4" s="3" t="s">
        <v>144</v>
      </c>
      <c r="B4" s="5">
        <v>100</v>
      </c>
      <c r="D4" s="3" t="s">
        <v>72</v>
      </c>
      <c r="E4" s="3">
        <v>50</v>
      </c>
      <c r="K4" s="3">
        <f>K3+N3*COS(M3*3.14159/180)</f>
        <v>189.74804315866845</v>
      </c>
      <c r="L4" s="3">
        <f>SIN(M3*3.14159/180)*N3+L3</f>
        <v>89.980347043055531</v>
      </c>
    </row>
    <row r="5" spans="1:14" s="3" customFormat="1">
      <c r="A5" s="3" t="s">
        <v>145</v>
      </c>
      <c r="B5" s="3">
        <v>5500</v>
      </c>
      <c r="K5" s="3">
        <v>-200</v>
      </c>
      <c r="L5" s="3">
        <v>0</v>
      </c>
      <c r="M5" s="3">
        <v>22</v>
      </c>
      <c r="N5" s="3">
        <v>400</v>
      </c>
    </row>
    <row r="6" spans="1:14" s="3" customFormat="1">
      <c r="A6" s="3" t="s">
        <v>146</v>
      </c>
      <c r="B6" s="4">
        <v>0.55002359581715332</v>
      </c>
      <c r="C6" s="3" t="s">
        <v>127</v>
      </c>
      <c r="D6" s="3">
        <f>B9*2/B6</f>
        <v>209.08193916507892</v>
      </c>
      <c r="E6" s="3" t="s">
        <v>129</v>
      </c>
      <c r="F6" s="3">
        <f>(D6+2*D7)*2</f>
        <v>1064.4171448404018</v>
      </c>
      <c r="H6" t="s">
        <v>34</v>
      </c>
      <c r="I6">
        <v>35</v>
      </c>
      <c r="K6" s="3">
        <f>K5+N5*COS(M5*3.14159/180)</f>
        <v>170.8735904248046</v>
      </c>
      <c r="L6" s="3">
        <f>SIN(M5*3.14159/180)*N5+L5</f>
        <v>149.84251708181586</v>
      </c>
    </row>
    <row r="7" spans="1:14" s="3" customFormat="1">
      <c r="A7" s="3" t="s">
        <v>147</v>
      </c>
      <c r="B7" s="4">
        <f>$B$6*$J$2/$J$1</f>
        <v>0.35589762082286391</v>
      </c>
      <c r="C7" s="3" t="s">
        <v>128</v>
      </c>
      <c r="D7" s="3">
        <f>(B8-B9)/B7</f>
        <v>161.56331662756097</v>
      </c>
      <c r="H7" t="s">
        <v>35</v>
      </c>
      <c r="I7">
        <v>17</v>
      </c>
      <c r="J7" s="3" t="s">
        <v>170</v>
      </c>
      <c r="K7" s="3">
        <v>-200</v>
      </c>
      <c r="L7" s="3">
        <v>0</v>
      </c>
      <c r="M7" s="3">
        <v>7</v>
      </c>
      <c r="N7" s="3">
        <v>400</v>
      </c>
    </row>
    <row r="8" spans="1:14" s="3" customFormat="1">
      <c r="A8" s="3" t="s">
        <v>148</v>
      </c>
      <c r="B8" s="3">
        <v>115</v>
      </c>
      <c r="F8" s="3">
        <f>ATAN(B10/B8)</f>
        <v>0.71574358966888008</v>
      </c>
      <c r="K8" s="3">
        <f>K7+N7*COS(M7*3.14159/180)</f>
        <v>197.01846568705719</v>
      </c>
      <c r="L8" s="3">
        <f>SIN(M7*3.14159/180)*N7+L7</f>
        <v>48.747696391675703</v>
      </c>
    </row>
    <row r="9" spans="1:14" s="3" customFormat="1">
      <c r="A9" s="5" t="s">
        <v>149</v>
      </c>
      <c r="B9" s="5">
        <f>B8/2</f>
        <v>57.5</v>
      </c>
      <c r="C9" s="3" t="s">
        <v>133</v>
      </c>
      <c r="D9" s="3">
        <v>200</v>
      </c>
      <c r="E9" s="3" t="s">
        <v>138</v>
      </c>
      <c r="F9" s="3">
        <f>B8+50</f>
        <v>165</v>
      </c>
      <c r="K9" s="3">
        <v>-200</v>
      </c>
      <c r="L9" s="3">
        <v>0</v>
      </c>
      <c r="M9" s="3">
        <v>12</v>
      </c>
      <c r="N9" s="3">
        <v>500</v>
      </c>
    </row>
    <row r="10" spans="1:14" s="3" customFormat="1">
      <c r="A10" s="3" t="s">
        <v>150</v>
      </c>
      <c r="B10" s="3">
        <v>100</v>
      </c>
      <c r="C10" s="3" t="s">
        <v>135</v>
      </c>
      <c r="D10" s="3">
        <f>B8+1</f>
        <v>116</v>
      </c>
      <c r="E10" s="3" t="s">
        <v>141</v>
      </c>
      <c r="F10" s="3">
        <v>15</v>
      </c>
      <c r="K10" s="3">
        <f>K9+N9*COS(M9*3.14159/180)</f>
        <v>289.07381875730653</v>
      </c>
      <c r="L10" s="3">
        <f>SIN(M9*3.14159/180)*N9+L9</f>
        <v>103.95575888879505</v>
      </c>
    </row>
    <row r="11" spans="1:14" s="3" customFormat="1">
      <c r="A11" s="3" t="s">
        <v>151</v>
      </c>
      <c r="B11" s="3">
        <v>105</v>
      </c>
      <c r="C11" s="3" t="s">
        <v>137</v>
      </c>
      <c r="D11" s="3">
        <v>50</v>
      </c>
      <c r="J11" s="3" t="s">
        <v>171</v>
      </c>
      <c r="K11" s="3">
        <v>0</v>
      </c>
      <c r="L11" s="3">
        <v>0</v>
      </c>
      <c r="M11" s="3">
        <f>I6</f>
        <v>35</v>
      </c>
      <c r="N11" s="3">
        <v>400</v>
      </c>
    </row>
    <row r="12" spans="1:14" s="3" customFormat="1">
      <c r="A12" s="3" t="s">
        <v>168</v>
      </c>
      <c r="K12" s="3">
        <f>K11+N11*COS(M11*3.14159/180)</f>
        <v>327.66093609617576</v>
      </c>
      <c r="L12" s="3">
        <f>SIN(M11*3.14159/180)*N11+L11</f>
        <v>229.43040547533761</v>
      </c>
    </row>
    <row r="13" spans="1:14" s="3" customFormat="1">
      <c r="A13" s="3" t="s">
        <v>118</v>
      </c>
      <c r="K13" s="3">
        <v>0</v>
      </c>
      <c r="L13" s="3">
        <v>0</v>
      </c>
      <c r="M13" s="3">
        <v>20</v>
      </c>
      <c r="N13" s="3">
        <v>400</v>
      </c>
    </row>
    <row r="14" spans="1:14" s="3" customFormat="1">
      <c r="A14" s="3" t="s">
        <v>55</v>
      </c>
      <c r="B14" s="3">
        <v>0</v>
      </c>
      <c r="C14" s="3" t="s">
        <v>56</v>
      </c>
      <c r="D14" s="3" t="s">
        <v>57</v>
      </c>
      <c r="K14" s="3">
        <f>K13+N13*COS(M13*3.14159/180)</f>
        <v>375.87708865128752</v>
      </c>
      <c r="L14" s="3">
        <f>SIN(M13*3.14159/180)*N13+L13</f>
        <v>136.80794650542833</v>
      </c>
    </row>
    <row r="15" spans="1:14" s="3" customFormat="1">
      <c r="A15" s="3" t="s">
        <v>58</v>
      </c>
      <c r="B15" s="3">
        <v>-1</v>
      </c>
      <c r="D15" s="3" t="s">
        <v>59</v>
      </c>
    </row>
    <row r="16" spans="1:14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15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290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INT(F32*$B$37)</f>
        <v>25</v>
      </c>
      <c r="E32" s="3" t="s">
        <v>119</v>
      </c>
      <c r="F32" s="3">
        <v>0.05</v>
      </c>
    </row>
    <row r="33" spans="1:6" s="3" customFormat="1">
      <c r="A33" s="3" t="s">
        <v>164</v>
      </c>
      <c r="B33" s="3">
        <v>-200</v>
      </c>
      <c r="C33" s="3" t="s">
        <v>31</v>
      </c>
      <c r="D33" s="3">
        <f>INT(F33*$B$37)</f>
        <v>225</v>
      </c>
      <c r="E33" s="3" t="s">
        <v>118</v>
      </c>
      <c r="F33" s="3">
        <v>0.45</v>
      </c>
    </row>
    <row r="34" spans="1:6" s="3" customFormat="1">
      <c r="A34" s="3" t="s">
        <v>28</v>
      </c>
      <c r="B34" s="3">
        <v>-75</v>
      </c>
      <c r="C34" s="3" t="s">
        <v>32</v>
      </c>
      <c r="D34" s="3">
        <f>INT(F34*$B$37)</f>
        <v>325</v>
      </c>
      <c r="E34" s="3" t="s">
        <v>118</v>
      </c>
      <c r="F34" s="3">
        <v>0.65</v>
      </c>
    </row>
    <row r="35" spans="1:6" s="3" customFormat="1">
      <c r="A35" s="3" t="s">
        <v>29</v>
      </c>
      <c r="B35" s="3">
        <v>150</v>
      </c>
      <c r="C35" s="3" t="s">
        <v>33</v>
      </c>
      <c r="D35" s="3">
        <f>INT(F35*$B$37)</f>
        <v>450</v>
      </c>
      <c r="E35" s="3" t="s">
        <v>118</v>
      </c>
      <c r="F35" s="3">
        <v>0.9</v>
      </c>
    </row>
    <row r="36" spans="1:6" s="3" customFormat="1">
      <c r="A36" s="3" t="s">
        <v>65</v>
      </c>
      <c r="B36" s="3">
        <v>350</v>
      </c>
      <c r="C36" s="3" t="s">
        <v>66</v>
      </c>
      <c r="D36" s="3">
        <f>INT(F36*$B$37)</f>
        <v>475</v>
      </c>
      <c r="E36" s="3" t="s">
        <v>118</v>
      </c>
      <c r="F36" s="3">
        <v>0.95</v>
      </c>
    </row>
    <row r="37" spans="1:6" s="3" customFormat="1">
      <c r="A37" s="3" t="s">
        <v>67</v>
      </c>
      <c r="B37" s="3">
        <v>500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9">
        <f>C38+1</f>
        <v>2</v>
      </c>
    </row>
    <row r="46" spans="1:6" s="3" customFormat="1">
      <c r="A46" s="3" t="s">
        <v>4</v>
      </c>
      <c r="B46" s="3" t="s">
        <v>5</v>
      </c>
      <c r="C46" s="10" t="s">
        <v>6</v>
      </c>
      <c r="D46" s="4">
        <f>D7*2*B5</f>
        <v>1777196.4829031706</v>
      </c>
      <c r="E46" s="3" t="s">
        <v>2</v>
      </c>
    </row>
    <row r="47" spans="1:6" s="3" customFormat="1">
      <c r="A47" s="3" t="s">
        <v>0</v>
      </c>
      <c r="B47" s="3" t="s">
        <v>13</v>
      </c>
      <c r="C47" s="11">
        <f>-B8</f>
        <v>-115</v>
      </c>
      <c r="D47" s="3" t="s">
        <v>1</v>
      </c>
      <c r="E47" s="4">
        <f>$B$11</f>
        <v>105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-B9</f>
        <v>-57.5</v>
      </c>
      <c r="D48" s="3" t="s">
        <v>1</v>
      </c>
      <c r="E48" s="11">
        <f>E47</f>
        <v>105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C48</f>
        <v>-57.5</v>
      </c>
      <c r="D49" s="3" t="s">
        <v>1</v>
      </c>
      <c r="E49" s="11">
        <f>$B$10</f>
        <v>100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C47</f>
        <v>-115</v>
      </c>
      <c r="D50" s="3" t="s">
        <v>1</v>
      </c>
      <c r="E50" s="11">
        <f>E49</f>
        <v>100</v>
      </c>
      <c r="F50" s="3" t="s">
        <v>2</v>
      </c>
    </row>
    <row r="51" spans="1:6" s="3" customFormat="1">
      <c r="A51" s="3" t="s">
        <v>0</v>
      </c>
      <c r="B51" s="3" t="s">
        <v>13</v>
      </c>
      <c r="C51" s="11">
        <f>C47</f>
        <v>-115</v>
      </c>
      <c r="D51" s="3" t="s">
        <v>1</v>
      </c>
      <c r="E51" s="11">
        <f>E47</f>
        <v>105</v>
      </c>
      <c r="F51" s="3" t="s">
        <v>2</v>
      </c>
    </row>
    <row r="52" spans="1:6" s="3" customFormat="1">
      <c r="A52" s="3" t="s">
        <v>118</v>
      </c>
      <c r="C52" s="10"/>
      <c r="E52" s="10"/>
    </row>
    <row r="53" spans="1:6" s="3" customFormat="1">
      <c r="A53" s="3" t="s">
        <v>126</v>
      </c>
      <c r="B53" s="3" t="s">
        <v>152</v>
      </c>
      <c r="C53" s="9">
        <f>C45+1</f>
        <v>3</v>
      </c>
      <c r="E53" s="10"/>
    </row>
    <row r="54" spans="1:6" s="3" customFormat="1">
      <c r="A54" s="3" t="s">
        <v>4</v>
      </c>
      <c r="B54" s="3" t="s">
        <v>5</v>
      </c>
      <c r="C54" s="10" t="s">
        <v>6</v>
      </c>
      <c r="D54" s="4">
        <f>D6*2*B5</f>
        <v>2299901.330815868</v>
      </c>
      <c r="E54" s="10" t="s">
        <v>2</v>
      </c>
    </row>
    <row r="55" spans="1:6" s="3" customFormat="1">
      <c r="A55" s="3" t="s">
        <v>0</v>
      </c>
      <c r="B55" s="3" t="s">
        <v>13</v>
      </c>
      <c r="C55" s="11">
        <f>-$B$9</f>
        <v>-57.5</v>
      </c>
      <c r="D55" s="3" t="s">
        <v>1</v>
      </c>
      <c r="E55" s="11">
        <f>$B$11</f>
        <v>105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57.5</v>
      </c>
      <c r="D56" s="3" t="s">
        <v>1</v>
      </c>
      <c r="E56" s="11">
        <f>E55</f>
        <v>105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$B$9</f>
        <v>57.5</v>
      </c>
      <c r="D57" s="3" t="s">
        <v>1</v>
      </c>
      <c r="E57" s="11">
        <f>$B$10</f>
        <v>100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-57.5</v>
      </c>
      <c r="D58" s="3" t="s">
        <v>1</v>
      </c>
      <c r="E58" s="11">
        <f>E57</f>
        <v>100</v>
      </c>
      <c r="F58" s="3" t="s">
        <v>2</v>
      </c>
    </row>
    <row r="59" spans="1:6" s="3" customFormat="1">
      <c r="A59" s="3" t="s">
        <v>0</v>
      </c>
      <c r="B59" s="3" t="s">
        <v>13</v>
      </c>
      <c r="C59" s="11">
        <f>-$B$9</f>
        <v>-57.5</v>
      </c>
      <c r="D59" s="3" t="s">
        <v>1</v>
      </c>
      <c r="E59" s="11">
        <f>E55</f>
        <v>105</v>
      </c>
      <c r="F59" s="3" t="s">
        <v>2</v>
      </c>
    </row>
    <row r="60" spans="1:6" s="3" customFormat="1">
      <c r="A60" s="3" t="s">
        <v>118</v>
      </c>
      <c r="C60" s="10"/>
      <c r="E60" s="10"/>
    </row>
    <row r="61" spans="1:6" s="3" customFormat="1">
      <c r="A61" s="3" t="s">
        <v>106</v>
      </c>
      <c r="B61" s="3" t="s">
        <v>152</v>
      </c>
      <c r="C61" s="9">
        <f>C53+1</f>
        <v>4</v>
      </c>
      <c r="E61" s="10"/>
    </row>
    <row r="62" spans="1:6" s="3" customFormat="1">
      <c r="A62" s="3" t="s">
        <v>4</v>
      </c>
      <c r="B62" s="3" t="s">
        <v>5</v>
      </c>
      <c r="C62" s="10" t="s">
        <v>6</v>
      </c>
      <c r="D62" s="4">
        <f>D46</f>
        <v>1777196.4829031706</v>
      </c>
      <c r="E62" s="10" t="s">
        <v>2</v>
      </c>
    </row>
    <row r="63" spans="1:6" s="3" customFormat="1">
      <c r="A63" s="3" t="s">
        <v>0</v>
      </c>
      <c r="B63" s="3" t="s">
        <v>13</v>
      </c>
      <c r="C63" s="11">
        <f>B8</f>
        <v>115</v>
      </c>
      <c r="D63" s="3" t="s">
        <v>1</v>
      </c>
      <c r="E63" s="11">
        <f>$B$11</f>
        <v>105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57.5</v>
      </c>
      <c r="D64" s="3" t="s">
        <v>1</v>
      </c>
      <c r="E64" s="11">
        <f>E63</f>
        <v>105</v>
      </c>
      <c r="F64" s="3" t="s">
        <v>2</v>
      </c>
    </row>
    <row r="65" spans="1:8" s="3" customFormat="1">
      <c r="A65" s="3" t="s">
        <v>0</v>
      </c>
      <c r="B65" s="3" t="s">
        <v>13</v>
      </c>
      <c r="C65" s="11">
        <f>B9</f>
        <v>57.5</v>
      </c>
      <c r="D65" s="3" t="s">
        <v>1</v>
      </c>
      <c r="E65" s="11">
        <f>$B$10</f>
        <v>100</v>
      </c>
      <c r="F65" s="3" t="s">
        <v>2</v>
      </c>
    </row>
    <row r="66" spans="1:8" s="3" customFormat="1">
      <c r="A66" s="3" t="s">
        <v>0</v>
      </c>
      <c r="B66" s="3" t="s">
        <v>13</v>
      </c>
      <c r="C66" s="11">
        <f>B8</f>
        <v>115</v>
      </c>
      <c r="D66" s="3" t="s">
        <v>1</v>
      </c>
      <c r="E66" s="11">
        <f>E65</f>
        <v>100</v>
      </c>
      <c r="F66" s="3" t="s">
        <v>2</v>
      </c>
    </row>
    <row r="67" spans="1:8" s="3" customFormat="1">
      <c r="A67" s="3" t="s">
        <v>0</v>
      </c>
      <c r="B67" s="3" t="s">
        <v>13</v>
      </c>
      <c r="C67" s="11">
        <f>B8</f>
        <v>115</v>
      </c>
      <c r="D67" s="3" t="s">
        <v>1</v>
      </c>
      <c r="E67" s="11">
        <f>E63</f>
        <v>105</v>
      </c>
      <c r="F67" s="3" t="s">
        <v>2</v>
      </c>
    </row>
    <row r="68" spans="1:8" s="3" customFormat="1">
      <c r="A68" s="3" t="s">
        <v>118</v>
      </c>
      <c r="C68" s="10"/>
      <c r="E68" s="10"/>
    </row>
    <row r="69" spans="1:8" s="3" customFormat="1">
      <c r="A69" s="3" t="s">
        <v>134</v>
      </c>
      <c r="B69" s="3" t="s">
        <v>152</v>
      </c>
      <c r="C69" s="9">
        <f>C61+1</f>
        <v>5</v>
      </c>
      <c r="E69" s="10"/>
    </row>
    <row r="70" spans="1:8" s="3" customFormat="1">
      <c r="A70" s="3" t="s">
        <v>16</v>
      </c>
      <c r="B70" s="3" t="s">
        <v>17</v>
      </c>
      <c r="C70" s="10" t="s">
        <v>2</v>
      </c>
      <c r="E70" s="10"/>
    </row>
    <row r="71" spans="1:8" s="3" customFormat="1">
      <c r="A71" s="3" t="s">
        <v>0</v>
      </c>
      <c r="B71" s="3" t="s">
        <v>13</v>
      </c>
      <c r="C71" s="11">
        <f>-$D$10</f>
        <v>-116</v>
      </c>
      <c r="D71" s="3" t="s">
        <v>1</v>
      </c>
      <c r="E71" s="11">
        <f>$D$9 - 36</f>
        <v>164</v>
      </c>
      <c r="F71" s="3" t="s">
        <v>2</v>
      </c>
    </row>
    <row r="72" spans="1:8" s="3" customFormat="1">
      <c r="A72" s="3" t="s">
        <v>0</v>
      </c>
      <c r="B72" s="3" t="s">
        <v>13</v>
      </c>
      <c r="C72" s="11">
        <f>$D$10</f>
        <v>116</v>
      </c>
      <c r="D72" s="3" t="s">
        <v>1</v>
      </c>
      <c r="E72" s="11">
        <f>E71</f>
        <v>164</v>
      </c>
      <c r="F72" s="3" t="s">
        <v>2</v>
      </c>
    </row>
    <row r="73" spans="1:8" s="3" customFormat="1">
      <c r="A73" s="3" t="s">
        <v>0</v>
      </c>
      <c r="B73" s="3" t="s">
        <v>13</v>
      </c>
      <c r="C73" s="11">
        <f>C72</f>
        <v>116</v>
      </c>
      <c r="D73" s="3" t="s">
        <v>1</v>
      </c>
      <c r="E73" s="11">
        <f>D9</f>
        <v>200</v>
      </c>
      <c r="F73" s="3" t="s">
        <v>2</v>
      </c>
    </row>
    <row r="74" spans="1:8" s="3" customFormat="1">
      <c r="A74" s="3" t="s">
        <v>0</v>
      </c>
      <c r="B74" s="3" t="s">
        <v>13</v>
      </c>
      <c r="C74" s="11">
        <f>C71</f>
        <v>-116</v>
      </c>
      <c r="D74" s="3" t="s">
        <v>1</v>
      </c>
      <c r="E74" s="11">
        <f>E73</f>
        <v>200</v>
      </c>
      <c r="F74" s="3" t="s">
        <v>2</v>
      </c>
    </row>
    <row r="75" spans="1:8" s="3" customFormat="1">
      <c r="A75" s="3" t="s">
        <v>0</v>
      </c>
      <c r="B75" s="3" t="s">
        <v>13</v>
      </c>
      <c r="C75" s="11">
        <f>C71</f>
        <v>-116</v>
      </c>
      <c r="D75" s="3" t="s">
        <v>1</v>
      </c>
      <c r="E75" s="11">
        <f>E71</f>
        <v>164</v>
      </c>
      <c r="F75" s="3" t="s">
        <v>2</v>
      </c>
    </row>
    <row r="76" spans="1:8" s="3" customFormat="1">
      <c r="A76" s="3" t="s">
        <v>118</v>
      </c>
      <c r="C76" s="10"/>
      <c r="E76" s="10"/>
    </row>
    <row r="77" spans="1:8" s="3" customFormat="1">
      <c r="A77" s="3" t="s">
        <v>136</v>
      </c>
      <c r="B77" s="3" t="s">
        <v>152</v>
      </c>
      <c r="C77" s="9">
        <f>C69+1</f>
        <v>6</v>
      </c>
      <c r="E77" s="10"/>
    </row>
    <row r="78" spans="1:8" s="3" customFormat="1">
      <c r="A78" s="3" t="s">
        <v>16</v>
      </c>
      <c r="B78" s="3" t="s">
        <v>17</v>
      </c>
      <c r="C78" s="10" t="s">
        <v>2</v>
      </c>
      <c r="E78" s="10"/>
    </row>
    <row r="79" spans="1:8" s="3" customFormat="1">
      <c r="A79" s="3" t="s">
        <v>0</v>
      </c>
      <c r="B79" s="3" t="s">
        <v>13</v>
      </c>
      <c r="C79" s="11">
        <f>-$D$10</f>
        <v>-116</v>
      </c>
      <c r="D79" s="3" t="s">
        <v>1</v>
      </c>
      <c r="E79" s="11">
        <f>E63+H79</f>
        <v>110</v>
      </c>
      <c r="F79" s="3" t="s">
        <v>2</v>
      </c>
      <c r="G79" s="3" t="s">
        <v>180</v>
      </c>
      <c r="H79" s="3">
        <v>5</v>
      </c>
    </row>
    <row r="80" spans="1:8" s="3" customFormat="1">
      <c r="A80" s="3" t="s">
        <v>0</v>
      </c>
      <c r="B80" s="3" t="s">
        <v>13</v>
      </c>
      <c r="C80" s="11">
        <f>$D$10</f>
        <v>116</v>
      </c>
      <c r="D80" s="3" t="s">
        <v>1</v>
      </c>
      <c r="E80" s="11">
        <f>E79</f>
        <v>110</v>
      </c>
      <c r="F80" s="3" t="s">
        <v>2</v>
      </c>
      <c r="G80" s="3" t="s">
        <v>181</v>
      </c>
      <c r="H80" s="3">
        <v>55</v>
      </c>
    </row>
    <row r="81" spans="1:14" s="3" customFormat="1">
      <c r="A81" s="3" t="s">
        <v>0</v>
      </c>
      <c r="B81" s="3" t="s">
        <v>13</v>
      </c>
      <c r="C81" s="11">
        <f>C80</f>
        <v>116</v>
      </c>
      <c r="D81" s="3" t="s">
        <v>1</v>
      </c>
      <c r="E81" s="11">
        <f>E80+H80</f>
        <v>165</v>
      </c>
      <c r="F81" s="3" t="s">
        <v>2</v>
      </c>
    </row>
    <row r="82" spans="1:14" s="3" customFormat="1">
      <c r="A82" s="3" t="s">
        <v>0</v>
      </c>
      <c r="B82" s="3" t="s">
        <v>13</v>
      </c>
      <c r="C82" s="11">
        <f>C79</f>
        <v>-116</v>
      </c>
      <c r="D82" s="3" t="s">
        <v>1</v>
      </c>
      <c r="E82" s="11">
        <f>E81</f>
        <v>165</v>
      </c>
      <c r="F82" s="3" t="s">
        <v>2</v>
      </c>
    </row>
    <row r="83" spans="1:14" s="3" customFormat="1">
      <c r="A83" s="3" t="s">
        <v>0</v>
      </c>
      <c r="B83" s="3" t="s">
        <v>13</v>
      </c>
      <c r="C83" s="11">
        <f>C79</f>
        <v>-116</v>
      </c>
      <c r="D83" s="3" t="s">
        <v>1</v>
      </c>
      <c r="E83" s="11">
        <f>E79</f>
        <v>110</v>
      </c>
      <c r="F83" s="3" t="s">
        <v>2</v>
      </c>
    </row>
    <row r="84" spans="1:14" s="3" customFormat="1">
      <c r="A84" s="3" t="s">
        <v>118</v>
      </c>
      <c r="C84" s="10"/>
      <c r="E84" s="10"/>
    </row>
    <row r="85" spans="1:14" s="3" customFormat="1">
      <c r="A85" s="3" t="s">
        <v>118</v>
      </c>
      <c r="C85" s="10"/>
      <c r="E85" s="10"/>
    </row>
    <row r="86" spans="1:14" s="3" customFormat="1">
      <c r="A86" s="3" t="s">
        <v>139</v>
      </c>
      <c r="B86" s="3" t="s">
        <v>152</v>
      </c>
      <c r="C86" s="9">
        <f>C77+1</f>
        <v>7</v>
      </c>
      <c r="E86" s="10"/>
    </row>
    <row r="87" spans="1:14" s="3" customFormat="1">
      <c r="A87" s="3" t="s">
        <v>16</v>
      </c>
      <c r="B87" s="3" t="s">
        <v>17</v>
      </c>
      <c r="C87" s="10" t="s">
        <v>2</v>
      </c>
      <c r="E87" s="10"/>
    </row>
    <row r="88" spans="1:14" s="3" customFormat="1">
      <c r="A88" s="3" t="s">
        <v>0</v>
      </c>
      <c r="B88" s="3" t="s">
        <v>13</v>
      </c>
      <c r="C88" s="11">
        <f>C112</f>
        <v>-146</v>
      </c>
      <c r="D88" s="3" t="s">
        <v>1</v>
      </c>
      <c r="E88" s="11">
        <f>D9</f>
        <v>200</v>
      </c>
      <c r="F88" s="3" t="s">
        <v>2</v>
      </c>
      <c r="G88" s="3" t="s">
        <v>179</v>
      </c>
      <c r="H88" s="3">
        <v>40</v>
      </c>
    </row>
    <row r="89" spans="1:14" s="3" customFormat="1">
      <c r="A89" s="3" t="s">
        <v>0</v>
      </c>
      <c r="B89" s="3" t="s">
        <v>13</v>
      </c>
      <c r="C89" s="11">
        <f>C88-H88</f>
        <v>-186</v>
      </c>
      <c r="D89" s="3" t="s">
        <v>1</v>
      </c>
      <c r="E89" s="11">
        <f>$D$9</f>
        <v>200</v>
      </c>
      <c r="F89" s="3" t="s">
        <v>2</v>
      </c>
    </row>
    <row r="90" spans="1:14" s="3" customFormat="1">
      <c r="A90" s="3" t="s">
        <v>0</v>
      </c>
      <c r="B90" s="3" t="s">
        <v>13</v>
      </c>
      <c r="C90" s="11">
        <f>C89</f>
        <v>-186</v>
      </c>
      <c r="D90" s="3" t="s">
        <v>1</v>
      </c>
      <c r="E90" s="11">
        <f>D11</f>
        <v>50</v>
      </c>
      <c r="F90" s="3" t="s">
        <v>2</v>
      </c>
    </row>
    <row r="91" spans="1:14" s="3" customFormat="1">
      <c r="A91" s="3" t="s">
        <v>0</v>
      </c>
      <c r="B91" s="3" t="s">
        <v>13</v>
      </c>
      <c r="C91" s="11">
        <f>C88</f>
        <v>-146</v>
      </c>
      <c r="D91" s="3" t="s">
        <v>1</v>
      </c>
      <c r="E91" s="11">
        <f>E90</f>
        <v>50</v>
      </c>
      <c r="F91" s="3" t="s">
        <v>2</v>
      </c>
    </row>
    <row r="92" spans="1:14" s="3" customFormat="1">
      <c r="A92" s="3" t="s">
        <v>0</v>
      </c>
      <c r="B92" s="3" t="s">
        <v>13</v>
      </c>
      <c r="C92" s="11">
        <f>C88</f>
        <v>-146</v>
      </c>
      <c r="D92" s="3" t="s">
        <v>1</v>
      </c>
      <c r="E92" s="11">
        <f>E88</f>
        <v>200</v>
      </c>
      <c r="F92" s="3" t="s">
        <v>2</v>
      </c>
    </row>
    <row r="93" spans="1:14" s="3" customFormat="1">
      <c r="A93" s="3" t="s">
        <v>118</v>
      </c>
      <c r="C93" s="10"/>
      <c r="E93" s="10"/>
    </row>
    <row r="94" spans="1:14" s="3" customFormat="1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</row>
    <row r="95" spans="1:14" s="3" customFormat="1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</row>
    <row r="96" spans="1:14" s="3" customFormat="1">
      <c r="A96" s="12" t="s">
        <v>0</v>
      </c>
      <c r="B96" s="12" t="s">
        <v>13</v>
      </c>
      <c r="C96" s="15">
        <f t="shared" ref="C96:C107" si="0">-C137</f>
        <v>-116</v>
      </c>
      <c r="D96" s="12" t="s">
        <v>1</v>
      </c>
      <c r="E96" s="15">
        <f>E137</f>
        <v>200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</row>
    <row r="97" spans="1:14" s="3" customFormat="1">
      <c r="A97" s="12" t="s">
        <v>0</v>
      </c>
      <c r="B97" s="12" t="s">
        <v>13</v>
      </c>
      <c r="C97" s="15">
        <f t="shared" si="0"/>
        <v>-141</v>
      </c>
      <c r="D97" s="12" t="s">
        <v>1</v>
      </c>
      <c r="E97" s="15">
        <f>E138</f>
        <v>200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</row>
    <row r="98" spans="1:14" s="3" customFormat="1">
      <c r="A98" s="12" t="s">
        <v>0</v>
      </c>
      <c r="B98" s="12" t="s">
        <v>13</v>
      </c>
      <c r="C98" s="15">
        <f t="shared" si="0"/>
        <v>-141</v>
      </c>
      <c r="D98" s="12" t="s">
        <v>1</v>
      </c>
      <c r="E98" s="15">
        <f>E139-10</f>
        <v>183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</row>
    <row r="99" spans="1:14" s="3" customFormat="1">
      <c r="A99" s="12" t="s">
        <v>0</v>
      </c>
      <c r="B99" s="12" t="s">
        <v>13</v>
      </c>
      <c r="C99" s="15">
        <f t="shared" si="0"/>
        <v>-128.5</v>
      </c>
      <c r="D99" s="12" t="s">
        <v>1</v>
      </c>
      <c r="E99" s="15">
        <f t="shared" ref="E99:E107" si="1">E140</f>
        <v>178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</row>
    <row r="100" spans="1:14" s="3" customFormat="1">
      <c r="A100" s="12" t="s">
        <v>0</v>
      </c>
      <c r="B100" s="12" t="s">
        <v>13</v>
      </c>
      <c r="C100" s="15">
        <f t="shared" si="0"/>
        <v>-128.5</v>
      </c>
      <c r="D100" s="12" t="s">
        <v>1</v>
      </c>
      <c r="E100" s="15">
        <f t="shared" si="1"/>
        <v>163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</row>
    <row r="101" spans="1:14" s="3" customFormat="1">
      <c r="A101" s="12" t="s">
        <v>0</v>
      </c>
      <c r="B101" s="12" t="s">
        <v>13</v>
      </c>
      <c r="C101" s="15">
        <f t="shared" si="0"/>
        <v>-141</v>
      </c>
      <c r="D101" s="12" t="s">
        <v>1</v>
      </c>
      <c r="E101" s="15">
        <f t="shared" si="1"/>
        <v>148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</row>
    <row r="102" spans="1:14" s="3" customFormat="1">
      <c r="A102" t="s">
        <v>0</v>
      </c>
      <c r="B102" s="12" t="s">
        <v>13</v>
      </c>
      <c r="C102" s="15">
        <f t="shared" si="0"/>
        <v>-141</v>
      </c>
      <c r="D102" s="12" t="s">
        <v>1</v>
      </c>
      <c r="E102" s="15">
        <f t="shared" si="1"/>
        <v>102.5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</row>
    <row r="103" spans="1:14" s="3" customFormat="1">
      <c r="A103" t="s">
        <v>0</v>
      </c>
      <c r="B103" s="12" t="s">
        <v>13</v>
      </c>
      <c r="C103" s="15">
        <f t="shared" si="0"/>
        <v>-132.66666666666666</v>
      </c>
      <c r="D103" s="12" t="s">
        <v>1</v>
      </c>
      <c r="E103" s="15">
        <f t="shared" si="1"/>
        <v>95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</row>
    <row r="104" spans="1:14" s="3" customFormat="1">
      <c r="A104" t="s">
        <v>0</v>
      </c>
      <c r="B104" s="12" t="s">
        <v>13</v>
      </c>
      <c r="C104" s="15">
        <f t="shared" si="0"/>
        <v>-124.33333333333333</v>
      </c>
      <c r="D104" s="12" t="s">
        <v>1</v>
      </c>
      <c r="E104" s="15">
        <f t="shared" si="1"/>
        <v>95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</row>
    <row r="105" spans="1:14" s="3" customFormat="1">
      <c r="A105" t="s">
        <v>0</v>
      </c>
      <c r="B105" s="12" t="s">
        <v>13</v>
      </c>
      <c r="C105" s="15">
        <f t="shared" si="0"/>
        <v>-124.33333333333333</v>
      </c>
      <c r="D105" s="12" t="s">
        <v>1</v>
      </c>
      <c r="E105" s="15">
        <f t="shared" si="1"/>
        <v>102.5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</row>
    <row r="106" spans="1:14" s="3" customFormat="1">
      <c r="A106" t="s">
        <v>0</v>
      </c>
      <c r="B106" s="12" t="s">
        <v>13</v>
      </c>
      <c r="C106" s="15">
        <f t="shared" si="0"/>
        <v>-116</v>
      </c>
      <c r="D106" s="12" t="s">
        <v>1</v>
      </c>
      <c r="E106" s="15">
        <f t="shared" si="1"/>
        <v>110</v>
      </c>
      <c r="F106" s="12" t="s">
        <v>2</v>
      </c>
      <c r="G106" s="12"/>
      <c r="H106" s="12"/>
      <c r="I106" s="12"/>
      <c r="J106" s="12"/>
      <c r="K106" s="12"/>
      <c r="L106" s="12"/>
      <c r="M106" s="12"/>
      <c r="N106" s="12"/>
    </row>
    <row r="107" spans="1:14" s="3" customFormat="1">
      <c r="A107" s="12" t="s">
        <v>0</v>
      </c>
      <c r="B107" s="12" t="s">
        <v>13</v>
      </c>
      <c r="C107" s="15">
        <f t="shared" si="0"/>
        <v>-116</v>
      </c>
      <c r="D107" s="12" t="s">
        <v>1</v>
      </c>
      <c r="E107" s="15">
        <f t="shared" si="1"/>
        <v>200</v>
      </c>
      <c r="F107" s="12" t="s">
        <v>2</v>
      </c>
      <c r="G107" s="12"/>
      <c r="H107" s="12"/>
      <c r="I107" s="12"/>
      <c r="J107" s="12"/>
      <c r="K107" s="12"/>
      <c r="L107" s="12"/>
      <c r="M107" s="12"/>
      <c r="N107" s="12"/>
    </row>
    <row r="108" spans="1:14" s="3" customFormat="1">
      <c r="A108" s="12" t="s">
        <v>118</v>
      </c>
      <c r="B108" s="12"/>
      <c r="C108" s="13"/>
      <c r="D108" s="12"/>
      <c r="E108" s="13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s="3" customFormat="1">
      <c r="A109" s="3" t="s">
        <v>175</v>
      </c>
      <c r="B109" s="3" t="s">
        <v>152</v>
      </c>
      <c r="C109" s="9">
        <f>C94+1</f>
        <v>9</v>
      </c>
      <c r="E109" s="10"/>
    </row>
    <row r="110" spans="1:14" s="3" customFormat="1">
      <c r="A110" s="3" t="s">
        <v>16</v>
      </c>
      <c r="B110" s="3" t="s">
        <v>17</v>
      </c>
      <c r="C110" s="10" t="s">
        <v>2</v>
      </c>
      <c r="E110" s="10"/>
    </row>
    <row r="111" spans="1:14" s="3" customFormat="1">
      <c r="A111" s="3" t="s">
        <v>0</v>
      </c>
      <c r="B111" s="3" t="s">
        <v>13</v>
      </c>
      <c r="C111" s="11">
        <f>C97</f>
        <v>-141</v>
      </c>
      <c r="D111" s="3" t="s">
        <v>1</v>
      </c>
      <c r="E111" s="11">
        <f>E96</f>
        <v>200</v>
      </c>
      <c r="F111" s="3" t="s">
        <v>2</v>
      </c>
      <c r="G111" s="3" t="s">
        <v>176</v>
      </c>
      <c r="H111" s="3">
        <v>5</v>
      </c>
    </row>
    <row r="112" spans="1:14" s="3" customFormat="1">
      <c r="A112" s="3" t="s">
        <v>0</v>
      </c>
      <c r="B112" s="3" t="s">
        <v>13</v>
      </c>
      <c r="C112" s="11">
        <f>C97-H111</f>
        <v>-146</v>
      </c>
      <c r="D112" s="3" t="s">
        <v>1</v>
      </c>
      <c r="E112" s="11">
        <f>E97</f>
        <v>200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C112</f>
        <v>-146</v>
      </c>
      <c r="D113" s="3" t="s">
        <v>1</v>
      </c>
      <c r="E113" s="11">
        <f>E98</f>
        <v>183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C111</f>
        <v>-141</v>
      </c>
      <c r="D114" s="3" t="s">
        <v>1</v>
      </c>
      <c r="E114" s="11">
        <f>E113</f>
        <v>183</v>
      </c>
      <c r="F114" s="3" t="s">
        <v>2</v>
      </c>
    </row>
    <row r="115" spans="1:8" s="3" customFormat="1">
      <c r="A115" s="3" t="s">
        <v>0</v>
      </c>
      <c r="B115" s="3" t="s">
        <v>13</v>
      </c>
      <c r="C115" s="11">
        <f>C111</f>
        <v>-141</v>
      </c>
      <c r="D115" s="3" t="s">
        <v>1</v>
      </c>
      <c r="E115" s="11">
        <f>E111</f>
        <v>200</v>
      </c>
      <c r="F115" s="3" t="s">
        <v>2</v>
      </c>
    </row>
    <row r="116" spans="1:8" s="3" customFormat="1">
      <c r="A116" s="3" t="s">
        <v>118</v>
      </c>
      <c r="C116" s="10"/>
      <c r="E116" s="10"/>
    </row>
    <row r="117" spans="1:8" s="3" customFormat="1">
      <c r="A117" s="3" t="s">
        <v>140</v>
      </c>
      <c r="B117" s="3" t="s">
        <v>152</v>
      </c>
      <c r="C117" s="9">
        <f>C109+1</f>
        <v>10</v>
      </c>
      <c r="E117" s="10"/>
    </row>
    <row r="118" spans="1:8" s="3" customFormat="1">
      <c r="A118" s="3" t="s">
        <v>16</v>
      </c>
      <c r="B118" s="3" t="s">
        <v>17</v>
      </c>
      <c r="C118" s="10" t="s">
        <v>2</v>
      </c>
      <c r="E118" s="10"/>
    </row>
    <row r="119" spans="1:8" s="3" customFormat="1">
      <c r="A119" s="3" t="s">
        <v>0</v>
      </c>
      <c r="B119" s="3" t="s">
        <v>13</v>
      </c>
      <c r="C119" s="11">
        <f>C89</f>
        <v>-186</v>
      </c>
      <c r="D119" s="3" t="s">
        <v>1</v>
      </c>
      <c r="E119" s="11">
        <v>17</v>
      </c>
      <c r="F119" s="3" t="s">
        <v>2</v>
      </c>
    </row>
    <row r="120" spans="1:8" s="3" customFormat="1">
      <c r="A120" s="3" t="s">
        <v>0</v>
      </c>
      <c r="B120" s="3" t="s">
        <v>13</v>
      </c>
      <c r="C120" s="11">
        <f>(C88+C89)*0.5*1.05</f>
        <v>-174.3</v>
      </c>
      <c r="D120" s="3" t="s">
        <v>1</v>
      </c>
      <c r="E120" s="11">
        <f>E119</f>
        <v>17</v>
      </c>
      <c r="F120" s="3" t="s">
        <v>2</v>
      </c>
    </row>
    <row r="121" spans="1:8" s="3" customFormat="1">
      <c r="A121" s="3" t="s">
        <v>0</v>
      </c>
      <c r="B121" s="3" t="s">
        <v>13</v>
      </c>
      <c r="C121" s="11">
        <f>C88</f>
        <v>-146</v>
      </c>
      <c r="D121" s="3" t="s">
        <v>1</v>
      </c>
      <c r="E121" s="10">
        <v>27</v>
      </c>
      <c r="F121" s="3" t="s">
        <v>2</v>
      </c>
    </row>
    <row r="122" spans="1:8" s="3" customFormat="1">
      <c r="A122" s="3" t="s">
        <v>0</v>
      </c>
      <c r="B122" s="3" t="s">
        <v>13</v>
      </c>
      <c r="C122" s="11">
        <f>C121</f>
        <v>-146</v>
      </c>
      <c r="D122" s="3" t="s">
        <v>1</v>
      </c>
      <c r="E122" s="10">
        <f>$D$11</f>
        <v>50</v>
      </c>
      <c r="F122" s="3" t="s">
        <v>2</v>
      </c>
    </row>
    <row r="123" spans="1:8" s="3" customFormat="1">
      <c r="A123" s="3" t="s">
        <v>0</v>
      </c>
      <c r="B123" s="3" t="s">
        <v>13</v>
      </c>
      <c r="C123" s="11">
        <f>C119</f>
        <v>-186</v>
      </c>
      <c r="D123" s="3" t="s">
        <v>1</v>
      </c>
      <c r="E123" s="11">
        <f>$D$11</f>
        <v>50</v>
      </c>
      <c r="F123" s="3" t="s">
        <v>2</v>
      </c>
    </row>
    <row r="124" spans="1:8" s="3" customFormat="1">
      <c r="A124" s="3" t="s">
        <v>0</v>
      </c>
      <c r="B124" s="3" t="s">
        <v>13</v>
      </c>
      <c r="C124" s="11">
        <f>C119</f>
        <v>-186</v>
      </c>
      <c r="D124" s="3" t="s">
        <v>1</v>
      </c>
      <c r="E124" s="11">
        <f>E119</f>
        <v>17</v>
      </c>
      <c r="F124" s="3" t="s">
        <v>2</v>
      </c>
    </row>
    <row r="125" spans="1:8" s="3" customFormat="1">
      <c r="A125" s="3" t="s">
        <v>118</v>
      </c>
      <c r="C125" s="10"/>
      <c r="E125" s="10"/>
    </row>
    <row r="126" spans="1:8" s="3" customFormat="1">
      <c r="A126" s="3" t="s">
        <v>165</v>
      </c>
      <c r="B126" s="3" t="s">
        <v>152</v>
      </c>
      <c r="C126" s="9">
        <f>C117+1</f>
        <v>11</v>
      </c>
      <c r="E126" s="10"/>
    </row>
    <row r="127" spans="1:8" s="3" customFormat="1">
      <c r="A127" s="3" t="s">
        <v>16</v>
      </c>
      <c r="B127" s="3" t="s">
        <v>17</v>
      </c>
      <c r="C127" s="10" t="s">
        <v>2</v>
      </c>
      <c r="E127" s="10"/>
    </row>
    <row r="128" spans="1:8" s="3" customFormat="1">
      <c r="A128" s="3" t="s">
        <v>0</v>
      </c>
      <c r="B128" s="3" t="s">
        <v>13</v>
      </c>
      <c r="C128" s="11">
        <f>$D$10 - H128</f>
        <v>96</v>
      </c>
      <c r="D128" s="3" t="s">
        <v>1</v>
      </c>
      <c r="E128" s="11">
        <f>F10</f>
        <v>15</v>
      </c>
      <c r="F128" s="3" t="s">
        <v>2</v>
      </c>
      <c r="G128" s="3" t="s">
        <v>166</v>
      </c>
      <c r="H128" s="6">
        <v>20</v>
      </c>
    </row>
    <row r="129" spans="1:8" s="3" customFormat="1">
      <c r="A129" s="3" t="s">
        <v>0</v>
      </c>
      <c r="B129" s="3" t="s">
        <v>13</v>
      </c>
      <c r="C129" s="11">
        <f>C128+H129+H130+H128</f>
        <v>296</v>
      </c>
      <c r="D129" s="3" t="s">
        <v>1</v>
      </c>
      <c r="E129" s="11">
        <f>E128</f>
        <v>15</v>
      </c>
      <c r="F129" s="3" t="s">
        <v>2</v>
      </c>
      <c r="G129" s="3" t="s">
        <v>153</v>
      </c>
      <c r="H129" s="6">
        <v>145</v>
      </c>
    </row>
    <row r="130" spans="1:8" s="3" customFormat="1">
      <c r="A130" s="3" t="s">
        <v>0</v>
      </c>
      <c r="B130" s="3" t="s">
        <v>13</v>
      </c>
      <c r="C130" s="11">
        <f>C129</f>
        <v>296</v>
      </c>
      <c r="D130" s="3" t="s">
        <v>1</v>
      </c>
      <c r="E130" s="11">
        <f>MIN(TAN($I$7*3.1415/180)*$C$131, TAN($M$7*3.1415/180)*($C$131-$K$5))</f>
        <v>56.601996461600393</v>
      </c>
      <c r="F130" s="3" t="s">
        <v>2</v>
      </c>
      <c r="G130" s="3" t="s">
        <v>154</v>
      </c>
      <c r="H130" s="6">
        <v>35</v>
      </c>
    </row>
    <row r="131" spans="1:8" s="3" customFormat="1">
      <c r="A131" s="3" t="s">
        <v>0</v>
      </c>
      <c r="B131" s="3" t="s">
        <v>13</v>
      </c>
      <c r="C131" s="11">
        <f>C130-H130</f>
        <v>261</v>
      </c>
      <c r="D131" s="3" t="s">
        <v>1</v>
      </c>
      <c r="E131" s="11">
        <f>E130</f>
        <v>56.601996461600393</v>
      </c>
      <c r="F131" s="3" t="s">
        <v>2</v>
      </c>
    </row>
    <row r="132" spans="1:8" s="3" customFormat="1">
      <c r="A132" s="3" t="s">
        <v>0</v>
      </c>
      <c r="B132" s="3" t="s">
        <v>13</v>
      </c>
      <c r="C132" s="11">
        <f>C128</f>
        <v>96</v>
      </c>
      <c r="D132" s="3" t="s">
        <v>1</v>
      </c>
      <c r="E132" s="11">
        <f>TAN($I$7*3.1415/180)*C132</f>
        <v>29.349226841890278</v>
      </c>
      <c r="F132" s="3" t="s">
        <v>2</v>
      </c>
    </row>
    <row r="133" spans="1:8" s="3" customFormat="1">
      <c r="A133" s="3" t="s">
        <v>0</v>
      </c>
      <c r="B133" s="3" t="s">
        <v>13</v>
      </c>
      <c r="C133" s="11">
        <f>C128</f>
        <v>96</v>
      </c>
      <c r="D133" s="3" t="s">
        <v>1</v>
      </c>
      <c r="E133" s="11">
        <f>E128</f>
        <v>15</v>
      </c>
      <c r="F133" s="3" t="s">
        <v>2</v>
      </c>
    </row>
    <row r="134" spans="1:8" s="3" customFormat="1">
      <c r="A134" s="3" t="s">
        <v>118</v>
      </c>
      <c r="C134" s="10"/>
      <c r="E134" s="10"/>
    </row>
    <row r="135" spans="1:8" s="3" customFormat="1">
      <c r="A135" s="3" t="s">
        <v>155</v>
      </c>
      <c r="B135" s="3" t="s">
        <v>152</v>
      </c>
      <c r="C135" s="9">
        <f>C126+1</f>
        <v>12</v>
      </c>
      <c r="E135" s="10"/>
    </row>
    <row r="136" spans="1:8" s="3" customFormat="1">
      <c r="A136" s="3" t="s">
        <v>16</v>
      </c>
      <c r="B136" s="3" t="s">
        <v>17</v>
      </c>
      <c r="C136" s="10" t="s">
        <v>2</v>
      </c>
      <c r="E136" s="10"/>
    </row>
    <row r="137" spans="1:8" s="3" customFormat="1">
      <c r="A137" s="3" t="s">
        <v>0</v>
      </c>
      <c r="B137" s="3" t="s">
        <v>13</v>
      </c>
      <c r="C137" s="11">
        <f>D10</f>
        <v>116</v>
      </c>
      <c r="D137" s="3" t="s">
        <v>1</v>
      </c>
      <c r="E137" s="11">
        <f>D9</f>
        <v>200</v>
      </c>
      <c r="F137" s="3" t="s">
        <v>2</v>
      </c>
      <c r="G137" s="3" t="s">
        <v>159</v>
      </c>
      <c r="H137" s="6">
        <v>25</v>
      </c>
    </row>
    <row r="138" spans="1:8" s="3" customFormat="1">
      <c r="A138" s="3" t="s">
        <v>0</v>
      </c>
      <c r="B138" s="3" t="s">
        <v>13</v>
      </c>
      <c r="C138" s="11">
        <f>C137+H137</f>
        <v>141</v>
      </c>
      <c r="D138" s="3" t="s">
        <v>1</v>
      </c>
      <c r="E138" s="11">
        <f>E137</f>
        <v>200</v>
      </c>
      <c r="F138" s="3" t="s">
        <v>2</v>
      </c>
      <c r="G138" s="3" t="s">
        <v>163</v>
      </c>
      <c r="H138" s="6">
        <v>33</v>
      </c>
    </row>
    <row r="139" spans="1:8" s="3" customFormat="1">
      <c r="A139" s="3" t="s">
        <v>0</v>
      </c>
      <c r="B139" s="3" t="s">
        <v>13</v>
      </c>
      <c r="C139" s="11">
        <f>C138</f>
        <v>141</v>
      </c>
      <c r="D139" s="3" t="s">
        <v>1</v>
      </c>
      <c r="E139" s="11">
        <f>E154</f>
        <v>193</v>
      </c>
      <c r="F139" s="3" t="s">
        <v>2</v>
      </c>
      <c r="G139" s="3" t="s">
        <v>118</v>
      </c>
      <c r="H139" s="3">
        <f>ATAN2(C139,E139)*180/3.1415</f>
        <v>53.850846669684024</v>
      </c>
    </row>
    <row r="140" spans="1:8" s="3" customFormat="1">
      <c r="A140" s="3" t="s">
        <v>0</v>
      </c>
      <c r="B140" s="3" t="s">
        <v>13</v>
      </c>
      <c r="C140" s="11">
        <f>(C137+C139)*0.5</f>
        <v>128.5</v>
      </c>
      <c r="D140" s="3" t="s">
        <v>1</v>
      </c>
      <c r="E140" s="11">
        <f>E139-15</f>
        <v>178</v>
      </c>
      <c r="F140" s="3" t="s">
        <v>2</v>
      </c>
    </row>
    <row r="141" spans="1:8" s="3" customFormat="1">
      <c r="A141" s="3" t="s">
        <v>0</v>
      </c>
      <c r="B141" s="3" t="s">
        <v>13</v>
      </c>
      <c r="C141" s="11">
        <f>C140</f>
        <v>128.5</v>
      </c>
      <c r="D141" s="3" t="s">
        <v>1</v>
      </c>
      <c r="E141" s="11">
        <f>E140-15</f>
        <v>163</v>
      </c>
      <c r="F141" s="3" t="s">
        <v>2</v>
      </c>
    </row>
    <row r="142" spans="1:8" s="3" customFormat="1">
      <c r="A142" s="3" t="s">
        <v>0</v>
      </c>
      <c r="B142" s="3" t="s">
        <v>13</v>
      </c>
      <c r="C142" s="11">
        <f>C139</f>
        <v>141</v>
      </c>
      <c r="D142" s="3" t="s">
        <v>1</v>
      </c>
      <c r="E142" s="11">
        <f>E141-15</f>
        <v>148</v>
      </c>
      <c r="F142" s="3" t="s">
        <v>2</v>
      </c>
    </row>
    <row r="143" spans="1:8" s="3" customFormat="1">
      <c r="A143" t="s">
        <v>0</v>
      </c>
      <c r="B143" s="3" t="s">
        <v>13</v>
      </c>
      <c r="C143" s="11">
        <f>C142</f>
        <v>141</v>
      </c>
      <c r="D143" s="3" t="s">
        <v>1</v>
      </c>
      <c r="E143" s="11">
        <f>E146</f>
        <v>102.5</v>
      </c>
      <c r="F143" s="3" t="s">
        <v>2</v>
      </c>
      <c r="G143" s="3" t="s">
        <v>118</v>
      </c>
      <c r="H143" s="3">
        <f>ATAN2(C143,E143)*180/3.1415</f>
        <v>36.016352980458883</v>
      </c>
    </row>
    <row r="144" spans="1:8" s="3" customFormat="1">
      <c r="A144" t="s">
        <v>0</v>
      </c>
      <c r="B144" s="3" t="s">
        <v>13</v>
      </c>
      <c r="C144" s="11">
        <f>C139-H137/3</f>
        <v>132.66666666666666</v>
      </c>
      <c r="D144" s="3" t="s">
        <v>1</v>
      </c>
      <c r="E144" s="11">
        <f>$B$10-H145</f>
        <v>95</v>
      </c>
      <c r="F144" s="3" t="s">
        <v>2</v>
      </c>
    </row>
    <row r="145" spans="1:8" s="3" customFormat="1">
      <c r="A145" t="s">
        <v>0</v>
      </c>
      <c r="B145" s="3" t="s">
        <v>13</v>
      </c>
      <c r="C145" s="11">
        <f>C137+$H$137/3</f>
        <v>124.33333333333333</v>
      </c>
      <c r="D145" s="3" t="s">
        <v>1</v>
      </c>
      <c r="E145" s="11">
        <f>$B$10-H145</f>
        <v>95</v>
      </c>
      <c r="F145" s="3" t="s">
        <v>2</v>
      </c>
      <c r="G145" s="3" t="s">
        <v>167</v>
      </c>
      <c r="H145" s="3">
        <v>5</v>
      </c>
    </row>
    <row r="146" spans="1:8" s="3" customFormat="1">
      <c r="A146" t="s">
        <v>0</v>
      </c>
      <c r="B146" s="3" t="s">
        <v>13</v>
      </c>
      <c r="C146" s="11">
        <f>C145</f>
        <v>124.33333333333333</v>
      </c>
      <c r="D146" s="3" t="s">
        <v>1</v>
      </c>
      <c r="E146" s="11">
        <f>(E145+E79)/2</f>
        <v>102.5</v>
      </c>
      <c r="F146" s="3" t="s">
        <v>2</v>
      </c>
    </row>
    <row r="147" spans="1:8" s="3" customFormat="1">
      <c r="A147" t="s">
        <v>0</v>
      </c>
      <c r="B147" s="3" t="s">
        <v>13</v>
      </c>
      <c r="C147" s="11">
        <f>C137</f>
        <v>116</v>
      </c>
      <c r="D147" s="3" t="s">
        <v>1</v>
      </c>
      <c r="E147" s="11">
        <f>E79</f>
        <v>110</v>
      </c>
      <c r="F147" s="3" t="s">
        <v>2</v>
      </c>
    </row>
    <row r="148" spans="1:8" s="3" customFormat="1">
      <c r="A148" s="3" t="s">
        <v>0</v>
      </c>
      <c r="B148" s="3" t="s">
        <v>13</v>
      </c>
      <c r="C148" s="11">
        <f>C137</f>
        <v>116</v>
      </c>
      <c r="D148" s="3" t="s">
        <v>1</v>
      </c>
      <c r="E148" s="11">
        <f>E137</f>
        <v>200</v>
      </c>
      <c r="F148" s="3" t="s">
        <v>2</v>
      </c>
    </row>
    <row r="149" spans="1:8" s="3" customFormat="1">
      <c r="A149" s="3" t="s">
        <v>118</v>
      </c>
      <c r="C149" s="10"/>
      <c r="E149" s="10"/>
    </row>
    <row r="150" spans="1:8" s="3" customFormat="1">
      <c r="A150" s="3" t="s">
        <v>156</v>
      </c>
      <c r="B150" s="3" t="s">
        <v>152</v>
      </c>
      <c r="C150" s="9">
        <f>C135+1</f>
        <v>13</v>
      </c>
      <c r="E150" s="10"/>
    </row>
    <row r="151" spans="1:8" s="3" customFormat="1">
      <c r="A151" s="3" t="s">
        <v>16</v>
      </c>
      <c r="B151" s="3" t="s">
        <v>17</v>
      </c>
      <c r="C151" s="10" t="s">
        <v>2</v>
      </c>
      <c r="E151" s="10"/>
    </row>
    <row r="152" spans="1:8" s="3" customFormat="1">
      <c r="A152" s="3" t="s">
        <v>0</v>
      </c>
      <c r="B152" s="3" t="s">
        <v>13</v>
      </c>
      <c r="C152" s="11">
        <f>C138</f>
        <v>141</v>
      </c>
      <c r="D152" s="3" t="s">
        <v>1</v>
      </c>
      <c r="E152" s="11">
        <f>E138+H138</f>
        <v>233</v>
      </c>
      <c r="F152" s="3" t="s">
        <v>2</v>
      </c>
    </row>
    <row r="153" spans="1:8" s="3" customFormat="1">
      <c r="A153" s="3" t="s">
        <v>0</v>
      </c>
      <c r="B153" s="3" t="s">
        <v>13</v>
      </c>
      <c r="C153" s="11">
        <f>C129</f>
        <v>296</v>
      </c>
      <c r="D153" s="3" t="s">
        <v>1</v>
      </c>
      <c r="E153" s="11">
        <f>E152</f>
        <v>233</v>
      </c>
      <c r="F153" s="3" t="s">
        <v>2</v>
      </c>
      <c r="G153" s="3" t="s">
        <v>157</v>
      </c>
      <c r="H153" s="6">
        <v>40</v>
      </c>
    </row>
    <row r="154" spans="1:8" s="3" customFormat="1">
      <c r="A154" s="3" t="s">
        <v>0</v>
      </c>
      <c r="B154" s="3" t="s">
        <v>13</v>
      </c>
      <c r="C154" s="11">
        <f>C153</f>
        <v>296</v>
      </c>
      <c r="D154" s="3" t="s">
        <v>1</v>
      </c>
      <c r="E154" s="11">
        <f>E153-H153</f>
        <v>193</v>
      </c>
      <c r="F154" s="3" t="s">
        <v>2</v>
      </c>
    </row>
    <row r="155" spans="1:8" s="3" customFormat="1">
      <c r="A155" s="3" t="s">
        <v>0</v>
      </c>
      <c r="B155" s="3" t="s">
        <v>13</v>
      </c>
      <c r="C155" s="11">
        <f>C152</f>
        <v>141</v>
      </c>
      <c r="D155" s="3" t="s">
        <v>1</v>
      </c>
      <c r="E155" s="11">
        <f>E154</f>
        <v>193</v>
      </c>
      <c r="F155" s="3" t="s">
        <v>2</v>
      </c>
    </row>
    <row r="156" spans="1:8" s="3" customFormat="1">
      <c r="A156" s="3" t="s">
        <v>0</v>
      </c>
      <c r="B156" s="3" t="s">
        <v>13</v>
      </c>
      <c r="C156" s="11">
        <f>C152</f>
        <v>141</v>
      </c>
      <c r="D156" s="3" t="s">
        <v>1</v>
      </c>
      <c r="E156" s="11">
        <f>E152</f>
        <v>233</v>
      </c>
      <c r="F156" s="3" t="s">
        <v>2</v>
      </c>
    </row>
    <row r="157" spans="1:8" s="3" customFormat="1">
      <c r="A157" s="3" t="s">
        <v>118</v>
      </c>
      <c r="C157" s="10"/>
      <c r="E157" s="10"/>
    </row>
    <row r="158" spans="1:8" s="3" customFormat="1">
      <c r="A158" s="3" t="s">
        <v>160</v>
      </c>
      <c r="B158" s="3" t="s">
        <v>152</v>
      </c>
      <c r="C158" s="9">
        <f>C150+1</f>
        <v>14</v>
      </c>
      <c r="E158" s="10"/>
      <c r="G158" s="3" t="s">
        <v>161</v>
      </c>
      <c r="H158" s="6">
        <v>1</v>
      </c>
    </row>
    <row r="159" spans="1:8" s="3" customFormat="1">
      <c r="A159" s="3" t="s">
        <v>16</v>
      </c>
      <c r="B159" s="3" t="s">
        <v>17</v>
      </c>
      <c r="C159" s="10" t="s">
        <v>2</v>
      </c>
      <c r="E159" s="10"/>
      <c r="G159" s="3" t="s">
        <v>162</v>
      </c>
      <c r="H159" s="3">
        <f>H130</f>
        <v>35</v>
      </c>
    </row>
    <row r="160" spans="1:8" s="3" customFormat="1">
      <c r="A160" s="3" t="s">
        <v>0</v>
      </c>
      <c r="B160" s="3" t="s">
        <v>13</v>
      </c>
      <c r="C160" s="11">
        <f>C131</f>
        <v>261</v>
      </c>
      <c r="D160" s="3" t="s">
        <v>1</v>
      </c>
      <c r="E160" s="11">
        <f>E$130</f>
        <v>56.601996461600393</v>
      </c>
      <c r="F160" s="3" t="s">
        <v>2</v>
      </c>
    </row>
    <row r="161" spans="1:8" s="3" customFormat="1">
      <c r="A161" s="3" t="s">
        <v>0</v>
      </c>
      <c r="B161" s="3" t="s">
        <v>13</v>
      </c>
      <c r="C161" s="11">
        <f>C160+$H$159</f>
        <v>296</v>
      </c>
      <c r="D161" s="3" t="s">
        <v>1</v>
      </c>
      <c r="E161" s="11">
        <f>E160</f>
        <v>56.601996461600393</v>
      </c>
      <c r="F161" s="3" t="s">
        <v>2</v>
      </c>
    </row>
    <row r="162" spans="1:8" s="3" customFormat="1">
      <c r="A162" s="3" t="s">
        <v>0</v>
      </c>
      <c r="B162" s="3" t="s">
        <v>13</v>
      </c>
      <c r="C162" s="11">
        <f>C161</f>
        <v>296</v>
      </c>
      <c r="D162" s="3" t="s">
        <v>1</v>
      </c>
      <c r="E162" s="11">
        <f>E$154</f>
        <v>193</v>
      </c>
      <c r="F162" s="3" t="s">
        <v>2</v>
      </c>
    </row>
    <row r="163" spans="1:8" s="3" customFormat="1">
      <c r="A163" s="3" t="s">
        <v>0</v>
      </c>
      <c r="B163" s="3" t="s">
        <v>13</v>
      </c>
      <c r="C163" s="11">
        <f>C160</f>
        <v>261</v>
      </c>
      <c r="D163" s="3" t="s">
        <v>1</v>
      </c>
      <c r="E163" s="11">
        <f>E162</f>
        <v>193</v>
      </c>
      <c r="F163" s="3" t="s">
        <v>2</v>
      </c>
    </row>
    <row r="164" spans="1:8" s="3" customFormat="1">
      <c r="A164" s="3" t="s">
        <v>0</v>
      </c>
      <c r="B164" s="3" t="s">
        <v>13</v>
      </c>
      <c r="C164" s="11">
        <f>C160</f>
        <v>261</v>
      </c>
      <c r="D164" s="3" t="s">
        <v>1</v>
      </c>
      <c r="E164" s="11">
        <f>E160</f>
        <v>56.601996461600393</v>
      </c>
      <c r="F164" s="3" t="s">
        <v>2</v>
      </c>
    </row>
    <row r="165" spans="1:8">
      <c r="A165" s="3" t="s">
        <v>118</v>
      </c>
      <c r="B165" s="3"/>
      <c r="C165" s="10"/>
      <c r="D165" s="3"/>
      <c r="E165" s="10"/>
      <c r="F165" s="3"/>
    </row>
    <row r="166" spans="1:8">
      <c r="A166" s="3" t="s">
        <v>172</v>
      </c>
      <c r="B166" s="3" t="s">
        <v>152</v>
      </c>
      <c r="C166" s="9">
        <f>C158+1</f>
        <v>15</v>
      </c>
      <c r="D166" s="3"/>
      <c r="E166" s="10"/>
      <c r="F166" s="3"/>
    </row>
    <row r="167" spans="1:8">
      <c r="A167" s="3" t="s">
        <v>16</v>
      </c>
      <c r="B167" s="3" t="s">
        <v>17</v>
      </c>
      <c r="C167" s="10" t="s">
        <v>2</v>
      </c>
      <c r="D167" s="3"/>
      <c r="E167" s="10"/>
      <c r="F167" s="3"/>
    </row>
    <row r="168" spans="1:8">
      <c r="A168" s="3" t="s">
        <v>0</v>
      </c>
      <c r="B168" s="3" t="s">
        <v>13</v>
      </c>
      <c r="C168" s="11">
        <f>C152</f>
        <v>141</v>
      </c>
      <c r="D168" s="3" t="s">
        <v>1</v>
      </c>
      <c r="E168" s="11">
        <f>E152</f>
        <v>233</v>
      </c>
      <c r="F168" s="3" t="s">
        <v>2</v>
      </c>
      <c r="G168" s="2" t="s">
        <v>173</v>
      </c>
      <c r="H168" s="2">
        <v>100</v>
      </c>
    </row>
    <row r="169" spans="1:8">
      <c r="A169" s="3" t="s">
        <v>0</v>
      </c>
      <c r="B169" s="3" t="s">
        <v>13</v>
      </c>
      <c r="C169" s="11">
        <f>C168-H168</f>
        <v>41</v>
      </c>
      <c r="D169" s="3" t="s">
        <v>1</v>
      </c>
      <c r="E169" s="11">
        <f>E137</f>
        <v>200</v>
      </c>
      <c r="F169" s="3" t="s">
        <v>2</v>
      </c>
    </row>
    <row r="170" spans="1:8">
      <c r="A170" s="3" t="s">
        <v>0</v>
      </c>
      <c r="B170" s="3" t="s">
        <v>13</v>
      </c>
      <c r="C170" s="11">
        <f>C168</f>
        <v>141</v>
      </c>
      <c r="D170" s="3" t="s">
        <v>1</v>
      </c>
      <c r="E170" s="11">
        <f>E169</f>
        <v>200</v>
      </c>
      <c r="F170" s="3" t="s">
        <v>2</v>
      </c>
    </row>
    <row r="171" spans="1:8">
      <c r="A171" s="3" t="s">
        <v>0</v>
      </c>
      <c r="B171" s="3" t="s">
        <v>13</v>
      </c>
      <c r="C171" s="11">
        <f>C168</f>
        <v>141</v>
      </c>
      <c r="D171" s="3" t="s">
        <v>1</v>
      </c>
      <c r="E171" s="11">
        <f>E168</f>
        <v>233</v>
      </c>
      <c r="F171" s="3" t="s">
        <v>2</v>
      </c>
    </row>
    <row r="172" spans="1:8">
      <c r="A172" s="3" t="s">
        <v>118</v>
      </c>
      <c r="B172" s="3"/>
      <c r="C172" s="3"/>
      <c r="D172" s="3"/>
      <c r="E172" s="3"/>
      <c r="F172" s="3"/>
    </row>
    <row r="173" spans="1:8">
      <c r="A173" s="3" t="s">
        <v>177</v>
      </c>
      <c r="B173" s="3" t="s">
        <v>152</v>
      </c>
      <c r="C173" s="9">
        <f>C166+1</f>
        <v>16</v>
      </c>
      <c r="D173" s="3"/>
      <c r="E173" s="3"/>
      <c r="F173" s="3"/>
    </row>
    <row r="174" spans="1:8">
      <c r="A174" s="3" t="s">
        <v>16</v>
      </c>
      <c r="B174" s="3" t="s">
        <v>17</v>
      </c>
      <c r="C174" s="3" t="s">
        <v>2</v>
      </c>
      <c r="D174" s="3"/>
      <c r="E174" s="3"/>
      <c r="F174" s="3"/>
    </row>
    <row r="175" spans="1:8">
      <c r="A175" s="3" t="s">
        <v>0</v>
      </c>
      <c r="B175" s="3" t="s">
        <v>13</v>
      </c>
      <c r="C175" s="10">
        <f>C89</f>
        <v>-186</v>
      </c>
      <c r="D175" s="3" t="s">
        <v>1</v>
      </c>
      <c r="E175" s="10">
        <f>E89</f>
        <v>200</v>
      </c>
      <c r="F175" s="3" t="s">
        <v>2</v>
      </c>
      <c r="G175" s="2" t="s">
        <v>159</v>
      </c>
      <c r="H175" s="2">
        <v>15</v>
      </c>
    </row>
    <row r="176" spans="1:8">
      <c r="A176" s="3" t="s">
        <v>0</v>
      </c>
      <c r="B176" s="3" t="s">
        <v>13</v>
      </c>
      <c r="C176" s="10">
        <f>C88</f>
        <v>-146</v>
      </c>
      <c r="D176" s="3" t="s">
        <v>1</v>
      </c>
      <c r="E176" s="10">
        <f>E175+H175</f>
        <v>215</v>
      </c>
      <c r="F176" s="3" t="s">
        <v>2</v>
      </c>
      <c r="G176" s="2" t="s">
        <v>178</v>
      </c>
      <c r="H176" s="2">
        <v>125</v>
      </c>
    </row>
    <row r="177" spans="1:6">
      <c r="A177" s="3" t="s">
        <v>0</v>
      </c>
      <c r="B177" s="3" t="s">
        <v>13</v>
      </c>
      <c r="C177" s="10">
        <f>C175+H176-(C176-C175)</f>
        <v>-101</v>
      </c>
      <c r="D177" s="3" t="s">
        <v>1</v>
      </c>
      <c r="E177" s="10">
        <f>E176</f>
        <v>215</v>
      </c>
      <c r="F177" s="3" t="s">
        <v>2</v>
      </c>
    </row>
    <row r="178" spans="1:6">
      <c r="A178" s="3" t="s">
        <v>0</v>
      </c>
      <c r="B178" s="3" t="s">
        <v>13</v>
      </c>
      <c r="C178" s="10">
        <f>C175+H176</f>
        <v>-61</v>
      </c>
      <c r="D178" s="3" t="s">
        <v>1</v>
      </c>
      <c r="E178" s="10">
        <f>E175</f>
        <v>200</v>
      </c>
      <c r="F178" s="3" t="s">
        <v>2</v>
      </c>
    </row>
    <row r="179" spans="1:6">
      <c r="A179" s="3" t="s">
        <v>0</v>
      </c>
      <c r="B179" s="3" t="s">
        <v>13</v>
      </c>
      <c r="C179" s="10">
        <f>C175</f>
        <v>-186</v>
      </c>
      <c r="D179" s="3" t="s">
        <v>1</v>
      </c>
      <c r="E179" s="10">
        <f>E175</f>
        <v>200</v>
      </c>
      <c r="F179" s="3" t="s">
        <v>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opLeftCell="A92" workbookViewId="0">
      <selection sqref="A1:N184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6" width="8.83203125" style="2"/>
    <col min="7" max="7" width="13.83203125" style="2" customWidth="1"/>
    <col min="8" max="16384" width="8.83203125" style="2"/>
  </cols>
  <sheetData>
    <row r="1" spans="1:14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4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4" s="3" customFormat="1">
      <c r="A3" s="3" t="s">
        <v>118</v>
      </c>
      <c r="D3" s="3" t="s">
        <v>35</v>
      </c>
      <c r="E3" s="3">
        <v>15.3</v>
      </c>
      <c r="J3" s="3" t="s">
        <v>169</v>
      </c>
      <c r="K3" s="3">
        <v>-260</v>
      </c>
      <c r="L3" s="3">
        <v>0</v>
      </c>
      <c r="M3" s="3">
        <v>13</v>
      </c>
      <c r="N3" s="3">
        <v>500</v>
      </c>
    </row>
    <row r="4" spans="1:14" s="3" customFormat="1">
      <c r="A4" s="3" t="s">
        <v>144</v>
      </c>
      <c r="B4" s="5">
        <f>(B10+B11)/2</f>
        <v>155</v>
      </c>
      <c r="D4" s="3" t="s">
        <v>72</v>
      </c>
      <c r="E4" s="3">
        <v>50</v>
      </c>
      <c r="K4" s="3">
        <f>K3+N3*COS(M3*3.14159/180)</f>
        <v>227.18505394833556</v>
      </c>
      <c r="L4" s="3">
        <f>SIN(M3*3.14159/180)*N3+L3</f>
        <v>112.47543380381941</v>
      </c>
    </row>
    <row r="5" spans="1:14" s="3" customFormat="1">
      <c r="A5" s="3" t="s">
        <v>145</v>
      </c>
      <c r="B5" s="3">
        <v>3250</v>
      </c>
      <c r="K5" s="3">
        <v>-260</v>
      </c>
      <c r="L5" s="3">
        <v>0</v>
      </c>
      <c r="M5" s="3">
        <v>22</v>
      </c>
      <c r="N5" s="3">
        <v>500</v>
      </c>
    </row>
    <row r="6" spans="1:14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H6" t="s">
        <v>34</v>
      </c>
      <c r="I6">
        <v>35</v>
      </c>
      <c r="K6" s="3">
        <f>K5+N5*COS(M5*3.14159/180)</f>
        <v>203.59198803100577</v>
      </c>
      <c r="L6" s="3">
        <f>SIN(M5*3.14159/180)*N5+L5</f>
        <v>187.30314635226983</v>
      </c>
    </row>
    <row r="7" spans="1:14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H7" t="s">
        <v>35</v>
      </c>
      <c r="I7">
        <v>17</v>
      </c>
      <c r="J7" s="3" t="s">
        <v>170</v>
      </c>
      <c r="K7" s="3">
        <v>-260</v>
      </c>
      <c r="L7" s="3">
        <v>0</v>
      </c>
      <c r="M7" s="3">
        <v>7</v>
      </c>
      <c r="N7" s="3">
        <v>500</v>
      </c>
    </row>
    <row r="8" spans="1:14" s="3" customFormat="1">
      <c r="A8" s="3" t="s">
        <v>148</v>
      </c>
      <c r="B8" s="3">
        <v>175</v>
      </c>
      <c r="F8" s="3">
        <f>ATAN(B10/B8)</f>
        <v>0.72165485086476122</v>
      </c>
      <c r="K8" s="3">
        <f>K7+N7*COS(M7*3.14159/180)</f>
        <v>236.27308210882148</v>
      </c>
      <c r="L8" s="3">
        <f>SIN(M7*3.14159/180)*N7+L7</f>
        <v>60.934620489594629</v>
      </c>
    </row>
    <row r="9" spans="1:14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  <c r="K9" s="3">
        <v>-260</v>
      </c>
      <c r="L9" s="3">
        <v>0</v>
      </c>
      <c r="M9" s="3">
        <v>12</v>
      </c>
      <c r="N9" s="3">
        <v>500</v>
      </c>
    </row>
    <row r="10" spans="1:14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  <c r="K10" s="3">
        <f>K9+N9*COS(M9*3.14159/180)</f>
        <v>229.07381875730653</v>
      </c>
      <c r="L10" s="3">
        <f>SIN(M9*3.14159/180)*N9+L9</f>
        <v>103.95575888879505</v>
      </c>
    </row>
    <row r="11" spans="1:14" s="3" customFormat="1">
      <c r="A11" s="3" t="s">
        <v>151</v>
      </c>
      <c r="B11" s="3">
        <v>156</v>
      </c>
      <c r="C11" s="3" t="s">
        <v>137</v>
      </c>
      <c r="D11" s="3">
        <v>95</v>
      </c>
      <c r="J11" s="3" t="s">
        <v>171</v>
      </c>
      <c r="K11" s="3">
        <v>0</v>
      </c>
      <c r="L11" s="3">
        <v>0</v>
      </c>
      <c r="M11" s="3">
        <f>I6</f>
        <v>35</v>
      </c>
      <c r="N11" s="3">
        <v>500</v>
      </c>
    </row>
    <row r="12" spans="1:14" s="3" customFormat="1">
      <c r="A12" s="3" t="s">
        <v>168</v>
      </c>
      <c r="K12" s="3">
        <f>K11+N11*COS(M11*3.14159/180)</f>
        <v>409.57617012021967</v>
      </c>
      <c r="L12" s="3">
        <f>SIN(M11*3.14159/180)*N11+L11</f>
        <v>286.788006844172</v>
      </c>
    </row>
    <row r="13" spans="1:14" s="3" customFormat="1">
      <c r="A13" s="3" t="s">
        <v>118</v>
      </c>
      <c r="K13" s="3">
        <v>0</v>
      </c>
      <c r="L13" s="3">
        <v>0</v>
      </c>
      <c r="M13" s="3">
        <v>20</v>
      </c>
      <c r="N13" s="3">
        <v>500</v>
      </c>
    </row>
    <row r="14" spans="1:14" s="3" customFormat="1">
      <c r="A14" s="3" t="s">
        <v>55</v>
      </c>
      <c r="B14" s="3">
        <v>0</v>
      </c>
      <c r="C14" s="3" t="s">
        <v>56</v>
      </c>
      <c r="D14" s="3" t="s">
        <v>57</v>
      </c>
      <c r="K14" s="3">
        <f>K13+N13*COS(M13*3.14159/180)</f>
        <v>469.8463608141094</v>
      </c>
      <c r="L14" s="3">
        <f>SIN(M13*3.14159/180)*N13+L13</f>
        <v>171.00993313178543</v>
      </c>
    </row>
    <row r="15" spans="1:14" s="3" customFormat="1">
      <c r="A15" s="3" t="s">
        <v>58</v>
      </c>
      <c r="B15" s="3">
        <v>-1</v>
      </c>
      <c r="D15" s="3" t="s">
        <v>59</v>
      </c>
    </row>
    <row r="16" spans="1:14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15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290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INT(F32*$B$37)</f>
        <v>25</v>
      </c>
      <c r="E32" s="3" t="s">
        <v>119</v>
      </c>
      <c r="F32" s="3">
        <v>0.05</v>
      </c>
    </row>
    <row r="33" spans="1:6" s="3" customFormat="1">
      <c r="A33" s="3" t="s">
        <v>164</v>
      </c>
      <c r="B33" s="3">
        <v>-200</v>
      </c>
      <c r="C33" s="3" t="s">
        <v>31</v>
      </c>
      <c r="D33" s="3">
        <f>INT(F33*$B$37)</f>
        <v>225</v>
      </c>
      <c r="E33" s="3" t="s">
        <v>118</v>
      </c>
      <c r="F33" s="3">
        <v>0.45</v>
      </c>
    </row>
    <row r="34" spans="1:6" s="3" customFormat="1">
      <c r="A34" s="3" t="s">
        <v>28</v>
      </c>
      <c r="B34" s="3">
        <v>-75</v>
      </c>
      <c r="C34" s="3" t="s">
        <v>32</v>
      </c>
      <c r="D34" s="3">
        <f>INT(F34*$B$37)</f>
        <v>325</v>
      </c>
      <c r="E34" s="3" t="s">
        <v>118</v>
      </c>
      <c r="F34" s="3">
        <v>0.65</v>
      </c>
    </row>
    <row r="35" spans="1:6" s="3" customFormat="1">
      <c r="A35" s="3" t="s">
        <v>29</v>
      </c>
      <c r="B35" s="3">
        <v>150</v>
      </c>
      <c r="C35" s="3" t="s">
        <v>33</v>
      </c>
      <c r="D35" s="3">
        <f>INT(F35*$B$37)</f>
        <v>450</v>
      </c>
      <c r="E35" s="3" t="s">
        <v>118</v>
      </c>
      <c r="F35" s="3">
        <v>0.9</v>
      </c>
    </row>
    <row r="36" spans="1:6" s="3" customFormat="1">
      <c r="A36" s="3" t="s">
        <v>65</v>
      </c>
      <c r="B36" s="3">
        <v>350</v>
      </c>
      <c r="C36" s="3" t="s">
        <v>66</v>
      </c>
      <c r="D36" s="3">
        <f>INT(F36*$B$37)</f>
        <v>475</v>
      </c>
      <c r="E36" s="3" t="s">
        <v>118</v>
      </c>
      <c r="F36" s="3">
        <v>0.95</v>
      </c>
    </row>
    <row r="37" spans="1:6" s="3" customFormat="1">
      <c r="A37" s="3" t="s">
        <v>67</v>
      </c>
      <c r="B37" s="3">
        <v>500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9">
        <f>C38+1</f>
        <v>2</v>
      </c>
    </row>
    <row r="46" spans="1:6" s="3" customFormat="1">
      <c r="A46" s="3" t="s">
        <v>4</v>
      </c>
      <c r="B46" s="3" t="s">
        <v>5</v>
      </c>
      <c r="C46" s="10" t="s">
        <v>6</v>
      </c>
      <c r="D46" s="4">
        <f>D7*2*B5</f>
        <v>1078453.4538822924</v>
      </c>
      <c r="E46" s="3" t="s">
        <v>2</v>
      </c>
    </row>
    <row r="47" spans="1:6" s="3" customFormat="1">
      <c r="A47" s="3" t="s">
        <v>0</v>
      </c>
      <c r="B47" s="3" t="s">
        <v>13</v>
      </c>
      <c r="C47" s="11">
        <f>-B8</f>
        <v>-175</v>
      </c>
      <c r="D47" s="3" t="s">
        <v>1</v>
      </c>
      <c r="E47" s="4">
        <f>$B$11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-B9</f>
        <v>-87.5</v>
      </c>
      <c r="D48" s="3" t="s">
        <v>1</v>
      </c>
      <c r="E48" s="11">
        <f>E47</f>
        <v>156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C48</f>
        <v>-87.5</v>
      </c>
      <c r="D49" s="3" t="s">
        <v>1</v>
      </c>
      <c r="E49" s="11">
        <f>$B$10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C47</f>
        <v>-175</v>
      </c>
      <c r="D50" s="3" t="s">
        <v>1</v>
      </c>
      <c r="E50" s="11">
        <f>E49</f>
        <v>154</v>
      </c>
      <c r="F50" s="3" t="s">
        <v>2</v>
      </c>
    </row>
    <row r="51" spans="1:6" s="3" customFormat="1">
      <c r="A51" s="3" t="s">
        <v>0</v>
      </c>
      <c r="B51" s="3" t="s">
        <v>13</v>
      </c>
      <c r="C51" s="11">
        <f>C47</f>
        <v>-175</v>
      </c>
      <c r="D51" s="3" t="s">
        <v>1</v>
      </c>
      <c r="E51" s="11">
        <f>E47</f>
        <v>156</v>
      </c>
      <c r="F51" s="3" t="s">
        <v>2</v>
      </c>
    </row>
    <row r="52" spans="1:6" s="3" customFormat="1">
      <c r="A52" s="3" t="s">
        <v>118</v>
      </c>
      <c r="C52" s="10"/>
      <c r="E52" s="10"/>
    </row>
    <row r="53" spans="1:6" s="3" customFormat="1">
      <c r="A53" s="3" t="s">
        <v>126</v>
      </c>
      <c r="B53" s="3" t="s">
        <v>152</v>
      </c>
      <c r="C53" s="9">
        <f>C45+1</f>
        <v>3</v>
      </c>
      <c r="E53" s="10"/>
    </row>
    <row r="54" spans="1:6" s="3" customFormat="1">
      <c r="A54" s="3" t="s">
        <v>4</v>
      </c>
      <c r="B54" s="3" t="s">
        <v>5</v>
      </c>
      <c r="C54" s="10" t="s">
        <v>6</v>
      </c>
      <c r="D54" s="4">
        <f>D6*2*B5</f>
        <v>2068093.0939154543</v>
      </c>
      <c r="E54" s="10" t="s">
        <v>2</v>
      </c>
    </row>
    <row r="55" spans="1:6" s="3" customFormat="1">
      <c r="A55" s="3" t="s">
        <v>0</v>
      </c>
      <c r="B55" s="3" t="s">
        <v>13</v>
      </c>
      <c r="C55" s="11">
        <f>-$B$9</f>
        <v>-87.5</v>
      </c>
      <c r="D55" s="3" t="s">
        <v>1</v>
      </c>
      <c r="E55" s="11">
        <f>$B$11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E55</f>
        <v>156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$B$9</f>
        <v>87.5</v>
      </c>
      <c r="D57" s="3" t="s">
        <v>1</v>
      </c>
      <c r="E57" s="11">
        <f>$B$10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E57</f>
        <v>154</v>
      </c>
      <c r="F58" s="3" t="s">
        <v>2</v>
      </c>
    </row>
    <row r="59" spans="1:6" s="3" customFormat="1">
      <c r="A59" s="3" t="s">
        <v>0</v>
      </c>
      <c r="B59" s="3" t="s">
        <v>13</v>
      </c>
      <c r="C59" s="11">
        <f>-$B$9</f>
        <v>-87.5</v>
      </c>
      <c r="D59" s="3" t="s">
        <v>1</v>
      </c>
      <c r="E59" s="11">
        <f>E55</f>
        <v>156</v>
      </c>
      <c r="F59" s="3" t="s">
        <v>2</v>
      </c>
    </row>
    <row r="60" spans="1:6" s="3" customFormat="1">
      <c r="A60" s="3" t="s">
        <v>118</v>
      </c>
      <c r="C60" s="10"/>
      <c r="E60" s="10"/>
    </row>
    <row r="61" spans="1:6" s="3" customFormat="1">
      <c r="A61" s="3" t="s">
        <v>106</v>
      </c>
      <c r="B61" s="3" t="s">
        <v>152</v>
      </c>
      <c r="C61" s="9">
        <f>C53+1</f>
        <v>4</v>
      </c>
      <c r="E61" s="10"/>
    </row>
    <row r="62" spans="1:6" s="3" customFormat="1">
      <c r="A62" s="3" t="s">
        <v>4</v>
      </c>
      <c r="B62" s="3" t="s">
        <v>5</v>
      </c>
      <c r="C62" s="10" t="s">
        <v>6</v>
      </c>
      <c r="D62" s="4">
        <f>D46</f>
        <v>1078453.4538822924</v>
      </c>
      <c r="E62" s="10" t="s">
        <v>2</v>
      </c>
    </row>
    <row r="63" spans="1:6" s="3" customFormat="1">
      <c r="A63" s="3" t="s">
        <v>0</v>
      </c>
      <c r="B63" s="3" t="s">
        <v>13</v>
      </c>
      <c r="C63" s="11">
        <f>B8</f>
        <v>175</v>
      </c>
      <c r="D63" s="3" t="s">
        <v>1</v>
      </c>
      <c r="E63" s="11">
        <f>$B$11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E63</f>
        <v>156</v>
      </c>
      <c r="F64" s="3" t="s">
        <v>2</v>
      </c>
    </row>
    <row r="65" spans="1:8" s="3" customFormat="1">
      <c r="A65" s="3" t="s">
        <v>0</v>
      </c>
      <c r="B65" s="3" t="s">
        <v>13</v>
      </c>
      <c r="C65" s="11">
        <f>B9</f>
        <v>87.5</v>
      </c>
      <c r="D65" s="3" t="s">
        <v>1</v>
      </c>
      <c r="E65" s="11">
        <f>$B$10</f>
        <v>154</v>
      </c>
      <c r="F65" s="3" t="s">
        <v>2</v>
      </c>
    </row>
    <row r="66" spans="1:8" s="3" customFormat="1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E65</f>
        <v>154</v>
      </c>
      <c r="F66" s="3" t="s">
        <v>2</v>
      </c>
    </row>
    <row r="67" spans="1:8" s="3" customFormat="1">
      <c r="A67" s="3" t="s">
        <v>0</v>
      </c>
      <c r="B67" s="3" t="s">
        <v>13</v>
      </c>
      <c r="C67" s="11">
        <f>B8</f>
        <v>175</v>
      </c>
      <c r="D67" s="3" t="s">
        <v>1</v>
      </c>
      <c r="E67" s="11">
        <f>E63</f>
        <v>156</v>
      </c>
      <c r="F67" s="3" t="s">
        <v>2</v>
      </c>
    </row>
    <row r="68" spans="1:8" s="3" customFormat="1">
      <c r="A68" s="3" t="s">
        <v>118</v>
      </c>
      <c r="C68" s="10"/>
      <c r="E68" s="10"/>
    </row>
    <row r="69" spans="1:8" s="3" customFormat="1">
      <c r="A69" s="3" t="s">
        <v>134</v>
      </c>
      <c r="B69" s="3" t="s">
        <v>152</v>
      </c>
      <c r="C69" s="9">
        <f>C61+1</f>
        <v>5</v>
      </c>
      <c r="E69" s="10"/>
    </row>
    <row r="70" spans="1:8" s="3" customFormat="1">
      <c r="A70" s="3" t="s">
        <v>16</v>
      </c>
      <c r="B70" s="3" t="s">
        <v>17</v>
      </c>
      <c r="C70" s="10" t="s">
        <v>2</v>
      </c>
      <c r="E70" s="10"/>
    </row>
    <row r="71" spans="1:8" s="3" customFormat="1">
      <c r="A71" s="3" t="s">
        <v>0</v>
      </c>
      <c r="B71" s="3" t="s">
        <v>13</v>
      </c>
      <c r="C71" s="11">
        <f>-$D$10</f>
        <v>-175.26</v>
      </c>
      <c r="D71" s="3" t="s">
        <v>1</v>
      </c>
      <c r="E71" s="11">
        <f>$D$9 - 36</f>
        <v>225</v>
      </c>
      <c r="F71" s="3" t="s">
        <v>2</v>
      </c>
    </row>
    <row r="72" spans="1:8" s="3" customFormat="1">
      <c r="A72" s="3" t="s">
        <v>0</v>
      </c>
      <c r="B72" s="3" t="s">
        <v>13</v>
      </c>
      <c r="C72" s="11">
        <f>$D$10</f>
        <v>175.26</v>
      </c>
      <c r="D72" s="3" t="s">
        <v>1</v>
      </c>
      <c r="E72" s="11">
        <f>E71</f>
        <v>225</v>
      </c>
      <c r="F72" s="3" t="s">
        <v>2</v>
      </c>
    </row>
    <row r="73" spans="1:8" s="3" customFormat="1">
      <c r="A73" s="3" t="s">
        <v>0</v>
      </c>
      <c r="B73" s="3" t="s">
        <v>13</v>
      </c>
      <c r="C73" s="11">
        <f>C72</f>
        <v>175.26</v>
      </c>
      <c r="D73" s="3" t="s">
        <v>1</v>
      </c>
      <c r="E73" s="11">
        <f>D9</f>
        <v>261</v>
      </c>
      <c r="F73" s="3" t="s">
        <v>2</v>
      </c>
    </row>
    <row r="74" spans="1:8" s="3" customFormat="1">
      <c r="A74" s="3" t="s">
        <v>0</v>
      </c>
      <c r="B74" s="3" t="s">
        <v>13</v>
      </c>
      <c r="C74" s="11">
        <f>C71</f>
        <v>-175.26</v>
      </c>
      <c r="D74" s="3" t="s">
        <v>1</v>
      </c>
      <c r="E74" s="11">
        <f>E73</f>
        <v>261</v>
      </c>
      <c r="F74" s="3" t="s">
        <v>2</v>
      </c>
    </row>
    <row r="75" spans="1:8" s="3" customFormat="1">
      <c r="A75" s="3" t="s">
        <v>0</v>
      </c>
      <c r="B75" s="3" t="s">
        <v>13</v>
      </c>
      <c r="C75" s="11">
        <f>C71</f>
        <v>-175.26</v>
      </c>
      <c r="D75" s="3" t="s">
        <v>1</v>
      </c>
      <c r="E75" s="11">
        <f>E71</f>
        <v>225</v>
      </c>
      <c r="F75" s="3" t="s">
        <v>2</v>
      </c>
    </row>
    <row r="76" spans="1:8" s="3" customFormat="1">
      <c r="A76" s="3" t="s">
        <v>118</v>
      </c>
      <c r="C76" s="10"/>
      <c r="E76" s="10"/>
    </row>
    <row r="77" spans="1:8" s="3" customFormat="1">
      <c r="A77" s="3" t="s">
        <v>136</v>
      </c>
      <c r="B77" s="3" t="s">
        <v>152</v>
      </c>
      <c r="C77" s="9">
        <f>C69+1</f>
        <v>6</v>
      </c>
      <c r="E77" s="10"/>
    </row>
    <row r="78" spans="1:8" s="3" customFormat="1">
      <c r="A78" s="3" t="s">
        <v>16</v>
      </c>
      <c r="B78" s="3" t="s">
        <v>17</v>
      </c>
      <c r="C78" s="10" t="s">
        <v>2</v>
      </c>
      <c r="E78" s="10"/>
    </row>
    <row r="79" spans="1:8" s="3" customFormat="1">
      <c r="A79" s="3" t="s">
        <v>0</v>
      </c>
      <c r="B79" s="3" t="s">
        <v>13</v>
      </c>
      <c r="C79" s="11">
        <f>-$D$10</f>
        <v>-175.26</v>
      </c>
      <c r="D79" s="3" t="s">
        <v>1</v>
      </c>
      <c r="E79" s="11">
        <f>D9-81</f>
        <v>180</v>
      </c>
      <c r="F79" s="3" t="s">
        <v>2</v>
      </c>
      <c r="G79" s="3" t="s">
        <v>180</v>
      </c>
      <c r="H79" s="3">
        <v>5</v>
      </c>
    </row>
    <row r="80" spans="1:8" s="3" customFormat="1">
      <c r="A80" s="3" t="s">
        <v>0</v>
      </c>
      <c r="B80" s="3" t="s">
        <v>13</v>
      </c>
      <c r="C80" s="11">
        <f>$D$10</f>
        <v>175.26</v>
      </c>
      <c r="D80" s="3" t="s">
        <v>1</v>
      </c>
      <c r="E80" s="11">
        <f>E79</f>
        <v>180</v>
      </c>
      <c r="F80" s="3" t="s">
        <v>2</v>
      </c>
      <c r="G80" s="3" t="s">
        <v>181</v>
      </c>
      <c r="H80" s="3">
        <v>55</v>
      </c>
    </row>
    <row r="81" spans="1:14" s="3" customFormat="1">
      <c r="A81" s="3" t="s">
        <v>0</v>
      </c>
      <c r="B81" s="3" t="s">
        <v>13</v>
      </c>
      <c r="C81" s="11">
        <f>C80</f>
        <v>175.26</v>
      </c>
      <c r="D81" s="3" t="s">
        <v>1</v>
      </c>
      <c r="E81" s="11">
        <f>D9-45</f>
        <v>216</v>
      </c>
      <c r="F81" s="3" t="s">
        <v>2</v>
      </c>
    </row>
    <row r="82" spans="1:14" s="3" customFormat="1">
      <c r="A82" s="3" t="s">
        <v>0</v>
      </c>
      <c r="B82" s="3" t="s">
        <v>13</v>
      </c>
      <c r="C82" s="11">
        <f>C79</f>
        <v>-175.26</v>
      </c>
      <c r="D82" s="3" t="s">
        <v>1</v>
      </c>
      <c r="E82" s="11">
        <f>E81</f>
        <v>216</v>
      </c>
      <c r="F82" s="3" t="s">
        <v>2</v>
      </c>
    </row>
    <row r="83" spans="1:14" s="3" customFormat="1">
      <c r="A83" s="3" t="s">
        <v>0</v>
      </c>
      <c r="B83" s="3" t="s">
        <v>13</v>
      </c>
      <c r="C83" s="11">
        <f>C79</f>
        <v>-175.26</v>
      </c>
      <c r="D83" s="3" t="s">
        <v>1</v>
      </c>
      <c r="E83" s="11">
        <f>E79</f>
        <v>180</v>
      </c>
      <c r="F83" s="3" t="s">
        <v>2</v>
      </c>
    </row>
    <row r="84" spans="1:14" s="3" customFormat="1">
      <c r="A84" s="3" t="s">
        <v>118</v>
      </c>
      <c r="C84" s="10"/>
      <c r="E84" s="10"/>
    </row>
    <row r="85" spans="1:14" s="3" customFormat="1">
      <c r="A85" s="3" t="s">
        <v>118</v>
      </c>
      <c r="C85" s="10"/>
      <c r="E85" s="10"/>
    </row>
    <row r="86" spans="1:14" s="3" customFormat="1">
      <c r="A86" s="3" t="s">
        <v>139</v>
      </c>
      <c r="B86" s="3" t="s">
        <v>152</v>
      </c>
      <c r="C86" s="9">
        <f>C77+1</f>
        <v>7</v>
      </c>
      <c r="E86" s="10"/>
    </row>
    <row r="87" spans="1:14" s="3" customFormat="1">
      <c r="A87" s="3" t="s">
        <v>16</v>
      </c>
      <c r="B87" s="3" t="s">
        <v>17</v>
      </c>
      <c r="C87" s="10" t="s">
        <v>2</v>
      </c>
      <c r="E87" s="10"/>
    </row>
    <row r="88" spans="1:14" s="3" customFormat="1">
      <c r="A88" s="3" t="s">
        <v>0</v>
      </c>
      <c r="B88" s="3" t="s">
        <v>13</v>
      </c>
      <c r="C88" s="11">
        <f>C96-H96-4</f>
        <v>-204.26</v>
      </c>
      <c r="D88" s="3" t="s">
        <v>1</v>
      </c>
      <c r="E88" s="11">
        <f>D9</f>
        <v>261</v>
      </c>
      <c r="F88" s="3" t="s">
        <v>2</v>
      </c>
      <c r="G88" s="3" t="s">
        <v>179</v>
      </c>
      <c r="H88" s="3">
        <v>40</v>
      </c>
    </row>
    <row r="89" spans="1:14" s="3" customFormat="1">
      <c r="A89" s="3" t="s">
        <v>0</v>
      </c>
      <c r="B89" s="3" t="s">
        <v>13</v>
      </c>
      <c r="C89" s="11">
        <f>C88-H88</f>
        <v>-244.26</v>
      </c>
      <c r="D89" s="3" t="s">
        <v>1</v>
      </c>
      <c r="E89" s="11">
        <f>$D$9</f>
        <v>261</v>
      </c>
      <c r="F89" s="3" t="s">
        <v>2</v>
      </c>
    </row>
    <row r="90" spans="1:14" s="3" customFormat="1">
      <c r="A90" s="3" t="s">
        <v>0</v>
      </c>
      <c r="B90" s="3" t="s">
        <v>13</v>
      </c>
      <c r="C90" s="11">
        <f>C89</f>
        <v>-244.26</v>
      </c>
      <c r="D90" s="3" t="s">
        <v>1</v>
      </c>
      <c r="E90" s="11">
        <f>D11</f>
        <v>95</v>
      </c>
      <c r="F90" s="3" t="s">
        <v>2</v>
      </c>
    </row>
    <row r="91" spans="1:14" s="3" customFormat="1">
      <c r="A91" s="3" t="s">
        <v>0</v>
      </c>
      <c r="B91" s="3" t="s">
        <v>13</v>
      </c>
      <c r="C91" s="11">
        <f>C88</f>
        <v>-204.26</v>
      </c>
      <c r="D91" s="3" t="s">
        <v>1</v>
      </c>
      <c r="E91" s="11">
        <f>E90</f>
        <v>95</v>
      </c>
      <c r="F91" s="3" t="s">
        <v>2</v>
      </c>
    </row>
    <row r="92" spans="1:14" s="3" customFormat="1">
      <c r="A92" s="3" t="s">
        <v>0</v>
      </c>
      <c r="B92" s="3" t="s">
        <v>13</v>
      </c>
      <c r="C92" s="11">
        <f>C88</f>
        <v>-204.26</v>
      </c>
      <c r="D92" s="3" t="s">
        <v>1</v>
      </c>
      <c r="E92" s="11">
        <f>E88</f>
        <v>261</v>
      </c>
      <c r="F92" s="3" t="s">
        <v>2</v>
      </c>
    </row>
    <row r="93" spans="1:14" s="3" customFormat="1">
      <c r="A93" s="3" t="s">
        <v>118</v>
      </c>
      <c r="C93" s="10"/>
      <c r="E93" s="10"/>
    </row>
    <row r="94" spans="1:14" s="3" customFormat="1">
      <c r="A94" s="12" t="s">
        <v>174</v>
      </c>
      <c r="B94" s="12" t="s">
        <v>152</v>
      </c>
      <c r="C94" s="14">
        <f>C86+1</f>
        <v>8</v>
      </c>
      <c r="D94" s="12"/>
      <c r="E94" s="13"/>
      <c r="F94" s="12"/>
      <c r="G94" s="12"/>
      <c r="H94" s="12"/>
      <c r="I94" s="12"/>
      <c r="J94" s="12"/>
      <c r="K94" s="12"/>
      <c r="L94" s="12"/>
      <c r="M94" s="12"/>
      <c r="N94" s="12"/>
    </row>
    <row r="95" spans="1:14" s="3" customFormat="1">
      <c r="A95" s="12" t="s">
        <v>16</v>
      </c>
      <c r="B95" s="12" t="s">
        <v>17</v>
      </c>
      <c r="C95" s="13" t="s">
        <v>2</v>
      </c>
      <c r="D95" s="12"/>
      <c r="E95" s="13"/>
      <c r="F95" s="12"/>
      <c r="G95" s="12"/>
      <c r="H95" s="12"/>
      <c r="I95" s="12"/>
      <c r="J95" s="12"/>
      <c r="K95" s="12"/>
      <c r="L95" s="12"/>
      <c r="M95" s="12"/>
      <c r="N95" s="12"/>
    </row>
    <row r="96" spans="1:14" s="3" customFormat="1">
      <c r="A96" s="12" t="s">
        <v>0</v>
      </c>
      <c r="B96" s="12" t="s">
        <v>13</v>
      </c>
      <c r="C96" s="15">
        <f t="shared" ref="C96:C105" si="0">-C128</f>
        <v>-175.26</v>
      </c>
      <c r="D96" s="12" t="s">
        <v>1</v>
      </c>
      <c r="E96" s="15">
        <f t="shared" ref="E96:E105" si="1">E128</f>
        <v>261</v>
      </c>
      <c r="F96" s="12" t="s">
        <v>2</v>
      </c>
      <c r="G96" s="12" t="s">
        <v>159</v>
      </c>
      <c r="H96" s="16">
        <v>25</v>
      </c>
      <c r="I96" s="12"/>
      <c r="J96" s="12"/>
      <c r="K96" s="12"/>
      <c r="L96" s="12"/>
      <c r="M96" s="12"/>
      <c r="N96" s="12"/>
    </row>
    <row r="97" spans="1:14" s="3" customFormat="1">
      <c r="A97" s="12" t="s">
        <v>0</v>
      </c>
      <c r="B97" s="12" t="s">
        <v>13</v>
      </c>
      <c r="C97" s="15">
        <f t="shared" si="0"/>
        <v>-187.76</v>
      </c>
      <c r="D97" s="12" t="s">
        <v>1</v>
      </c>
      <c r="E97" s="15">
        <f t="shared" si="1"/>
        <v>261</v>
      </c>
      <c r="F97" s="12" t="s">
        <v>2</v>
      </c>
      <c r="G97" s="12" t="s">
        <v>163</v>
      </c>
      <c r="H97" s="16">
        <v>33</v>
      </c>
      <c r="I97" s="12"/>
      <c r="J97" s="12"/>
      <c r="K97" s="12"/>
      <c r="L97" s="12"/>
      <c r="M97" s="12"/>
      <c r="N97" s="12"/>
    </row>
    <row r="98" spans="1:14" s="3" customFormat="1">
      <c r="A98" s="12" t="s">
        <v>0</v>
      </c>
      <c r="B98" s="12" t="s">
        <v>13</v>
      </c>
      <c r="C98" s="15">
        <f t="shared" si="0"/>
        <v>-187.76</v>
      </c>
      <c r="D98" s="12" t="s">
        <v>1</v>
      </c>
      <c r="E98" s="15">
        <f t="shared" si="1"/>
        <v>246</v>
      </c>
      <c r="F98" s="12" t="s">
        <v>2</v>
      </c>
      <c r="G98" s="12" t="s">
        <v>118</v>
      </c>
      <c r="H98" s="12">
        <v>53.850846670000003</v>
      </c>
      <c r="I98" s="12"/>
      <c r="J98" s="12"/>
      <c r="K98" s="12"/>
      <c r="L98" s="12"/>
      <c r="M98" s="12"/>
      <c r="N98" s="12"/>
    </row>
    <row r="99" spans="1:14" s="3" customFormat="1">
      <c r="A99" s="12" t="s">
        <v>0</v>
      </c>
      <c r="B99" s="12" t="s">
        <v>13</v>
      </c>
      <c r="C99" s="15">
        <f t="shared" si="0"/>
        <v>-200.26</v>
      </c>
      <c r="D99" s="12" t="s">
        <v>1</v>
      </c>
      <c r="E99" s="15">
        <f t="shared" si="1"/>
        <v>231</v>
      </c>
      <c r="F99" s="12" t="s">
        <v>2</v>
      </c>
      <c r="G99" s="12"/>
      <c r="H99" s="12"/>
      <c r="I99" s="12"/>
      <c r="J99" s="12"/>
      <c r="K99" s="12"/>
      <c r="L99" s="12"/>
      <c r="M99" s="12"/>
      <c r="N99" s="12"/>
    </row>
    <row r="100" spans="1:14" s="3" customFormat="1">
      <c r="A100" s="12" t="s">
        <v>0</v>
      </c>
      <c r="B100" s="12" t="s">
        <v>13</v>
      </c>
      <c r="C100" s="15">
        <f t="shared" si="0"/>
        <v>-200.26</v>
      </c>
      <c r="D100" s="12" t="s">
        <v>1</v>
      </c>
      <c r="E100" s="15">
        <f t="shared" si="1"/>
        <v>164.5</v>
      </c>
      <c r="F100" s="12" t="s">
        <v>2</v>
      </c>
      <c r="G100" s="12"/>
      <c r="H100" s="12"/>
      <c r="I100" s="12"/>
      <c r="J100" s="12"/>
      <c r="K100" s="12"/>
      <c r="L100" s="12"/>
      <c r="M100" s="12"/>
      <c r="N100" s="12"/>
    </row>
    <row r="101" spans="1:14" s="3" customFormat="1">
      <c r="A101" s="12" t="s">
        <v>0</v>
      </c>
      <c r="B101" s="12" t="s">
        <v>13</v>
      </c>
      <c r="C101" s="15">
        <f t="shared" si="0"/>
        <v>-191.92666666666665</v>
      </c>
      <c r="D101" s="12" t="s">
        <v>1</v>
      </c>
      <c r="E101" s="15">
        <f t="shared" si="1"/>
        <v>149</v>
      </c>
      <c r="F101" s="12" t="s">
        <v>2</v>
      </c>
      <c r="G101" s="12"/>
      <c r="H101" s="12"/>
      <c r="I101" s="12"/>
      <c r="J101" s="12"/>
      <c r="K101" s="12"/>
      <c r="L101" s="12"/>
      <c r="M101" s="12"/>
      <c r="N101" s="12"/>
    </row>
    <row r="102" spans="1:14" s="3" customFormat="1">
      <c r="A102" t="s">
        <v>0</v>
      </c>
      <c r="B102" s="12" t="s">
        <v>13</v>
      </c>
      <c r="C102" s="15">
        <f t="shared" si="0"/>
        <v>-183.59333333333333</v>
      </c>
      <c r="D102" s="12" t="s">
        <v>1</v>
      </c>
      <c r="E102" s="15">
        <f t="shared" si="1"/>
        <v>149</v>
      </c>
      <c r="F102" s="12" t="s">
        <v>2</v>
      </c>
      <c r="G102" s="12" t="s">
        <v>118</v>
      </c>
      <c r="H102" s="12">
        <v>37.194696139999998</v>
      </c>
      <c r="I102" s="12"/>
      <c r="J102" s="12"/>
      <c r="K102" s="12"/>
      <c r="L102" s="12"/>
      <c r="M102" s="12"/>
      <c r="N102" s="12"/>
    </row>
    <row r="103" spans="1:14" s="3" customFormat="1">
      <c r="A103" t="s">
        <v>0</v>
      </c>
      <c r="B103" s="12" t="s">
        <v>13</v>
      </c>
      <c r="C103" s="15">
        <f t="shared" si="0"/>
        <v>-183.59333333333333</v>
      </c>
      <c r="D103" s="12" t="s">
        <v>1</v>
      </c>
      <c r="E103" s="15">
        <f t="shared" si="1"/>
        <v>164.5</v>
      </c>
      <c r="F103" s="12" t="s">
        <v>2</v>
      </c>
      <c r="G103" s="12"/>
      <c r="H103" s="12"/>
      <c r="I103" s="12"/>
      <c r="J103" s="12"/>
      <c r="K103" s="12"/>
      <c r="L103" s="12"/>
      <c r="M103" s="12"/>
      <c r="N103" s="12"/>
    </row>
    <row r="104" spans="1:14" s="3" customFormat="1">
      <c r="A104" t="s">
        <v>0</v>
      </c>
      <c r="B104" s="12" t="s">
        <v>13</v>
      </c>
      <c r="C104" s="15">
        <f t="shared" si="0"/>
        <v>-175.26</v>
      </c>
      <c r="D104" s="12" t="s">
        <v>1</v>
      </c>
      <c r="E104" s="15">
        <f t="shared" si="1"/>
        <v>180</v>
      </c>
      <c r="F104" s="12" t="s">
        <v>2</v>
      </c>
      <c r="G104" s="12" t="s">
        <v>167</v>
      </c>
      <c r="H104" s="12">
        <v>5</v>
      </c>
      <c r="I104" s="12"/>
      <c r="J104" s="12"/>
      <c r="K104" s="12"/>
      <c r="L104" s="12"/>
      <c r="M104" s="12"/>
      <c r="N104" s="12"/>
    </row>
    <row r="105" spans="1:14" s="3" customFormat="1">
      <c r="A105" t="s">
        <v>0</v>
      </c>
      <c r="B105" s="12" t="s">
        <v>13</v>
      </c>
      <c r="C105" s="15">
        <f t="shared" si="0"/>
        <v>-175.26</v>
      </c>
      <c r="D105" s="12" t="s">
        <v>1</v>
      </c>
      <c r="E105" s="15">
        <f t="shared" si="1"/>
        <v>261</v>
      </c>
      <c r="F105" s="12" t="s">
        <v>2</v>
      </c>
      <c r="G105" s="12"/>
      <c r="H105" s="12"/>
      <c r="I105" s="12"/>
      <c r="J105" s="12"/>
      <c r="K105" s="12"/>
      <c r="L105" s="12"/>
      <c r="M105" s="12"/>
      <c r="N105" s="12"/>
    </row>
    <row r="106" spans="1:14" s="3" customFormat="1">
      <c r="A106" s="12" t="s">
        <v>118</v>
      </c>
      <c r="B106" s="12"/>
      <c r="C106" s="13"/>
      <c r="D106" s="12"/>
      <c r="E106" s="13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s="3" customFormat="1">
      <c r="A107" s="3" t="s">
        <v>118</v>
      </c>
      <c r="C107" s="10"/>
      <c r="E107" s="10"/>
    </row>
    <row r="108" spans="1:14" s="3" customFormat="1">
      <c r="A108" s="3" t="s">
        <v>140</v>
      </c>
      <c r="B108" s="3" t="s">
        <v>152</v>
      </c>
      <c r="C108" s="9">
        <f>C94+1</f>
        <v>9</v>
      </c>
      <c r="E108" s="10"/>
    </row>
    <row r="109" spans="1:14" s="3" customFormat="1">
      <c r="A109" s="3" t="s">
        <v>16</v>
      </c>
      <c r="B109" s="3" t="s">
        <v>17</v>
      </c>
      <c r="C109" s="10" t="s">
        <v>2</v>
      </c>
      <c r="E109" s="10"/>
    </row>
    <row r="110" spans="1:14" s="3" customFormat="1">
      <c r="A110" s="3" t="s">
        <v>0</v>
      </c>
      <c r="B110" s="3" t="s">
        <v>13</v>
      </c>
      <c r="C110" s="11">
        <f>C89</f>
        <v>-244.26</v>
      </c>
      <c r="D110" s="3" t="s">
        <v>1</v>
      </c>
      <c r="E110" s="11">
        <v>17</v>
      </c>
      <c r="F110" s="3" t="s">
        <v>2</v>
      </c>
    </row>
    <row r="111" spans="1:14" s="3" customFormat="1">
      <c r="A111" s="3" t="s">
        <v>0</v>
      </c>
      <c r="B111" s="3" t="s">
        <v>13</v>
      </c>
      <c r="C111" s="11">
        <f>(C88+C89)*0.5*1.05</f>
        <v>-235.47300000000001</v>
      </c>
      <c r="D111" s="3" t="s">
        <v>1</v>
      </c>
      <c r="E111" s="11">
        <f>E110</f>
        <v>17</v>
      </c>
      <c r="F111" s="3" t="s">
        <v>2</v>
      </c>
    </row>
    <row r="112" spans="1:14" s="3" customFormat="1">
      <c r="A112" s="3" t="s">
        <v>0</v>
      </c>
      <c r="B112" s="3" t="s">
        <v>13</v>
      </c>
      <c r="C112" s="11">
        <f>C88</f>
        <v>-204.26</v>
      </c>
      <c r="D112" s="3" t="s">
        <v>1</v>
      </c>
      <c r="E112" s="10">
        <v>27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C112</f>
        <v>-204.26</v>
      </c>
      <c r="D113" s="3" t="s">
        <v>1</v>
      </c>
      <c r="E113" s="10">
        <f>$D$11</f>
        <v>95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C110</f>
        <v>-244.26</v>
      </c>
      <c r="D114" s="3" t="s">
        <v>1</v>
      </c>
      <c r="E114" s="11">
        <f>$D$11</f>
        <v>95</v>
      </c>
      <c r="F114" s="3" t="s">
        <v>2</v>
      </c>
    </row>
    <row r="115" spans="1:8" s="3" customFormat="1">
      <c r="A115" s="3" t="s">
        <v>0</v>
      </c>
      <c r="B115" s="3" t="s">
        <v>13</v>
      </c>
      <c r="C115" s="11">
        <f>C110</f>
        <v>-244.26</v>
      </c>
      <c r="D115" s="3" t="s">
        <v>1</v>
      </c>
      <c r="E115" s="11">
        <f>E110</f>
        <v>17</v>
      </c>
      <c r="F115" s="3" t="s">
        <v>2</v>
      </c>
    </row>
    <row r="116" spans="1:8" s="3" customFormat="1">
      <c r="A116" s="3" t="s">
        <v>118</v>
      </c>
      <c r="C116" s="10"/>
      <c r="E116" s="10"/>
    </row>
    <row r="117" spans="1:8" s="3" customFormat="1">
      <c r="A117" s="3" t="s">
        <v>165</v>
      </c>
      <c r="B117" s="3" t="s">
        <v>152</v>
      </c>
      <c r="C117" s="9">
        <f>C108+1</f>
        <v>10</v>
      </c>
      <c r="E117" s="10"/>
    </row>
    <row r="118" spans="1:8" s="3" customFormat="1">
      <c r="A118" s="3" t="s">
        <v>16</v>
      </c>
      <c r="B118" s="3" t="s">
        <v>17</v>
      </c>
      <c r="C118" s="10" t="s">
        <v>2</v>
      </c>
      <c r="E118" s="10"/>
    </row>
    <row r="119" spans="1:8" s="3" customFormat="1">
      <c r="A119" s="3" t="s">
        <v>0</v>
      </c>
      <c r="B119" s="3" t="s">
        <v>13</v>
      </c>
      <c r="C119" s="11">
        <f>$D$10 - H119</f>
        <v>155.26</v>
      </c>
      <c r="D119" s="3" t="s">
        <v>1</v>
      </c>
      <c r="E119" s="11">
        <f>F10</f>
        <v>26.009600000000002</v>
      </c>
      <c r="F119" s="3" t="s">
        <v>2</v>
      </c>
      <c r="G119" s="3" t="s">
        <v>166</v>
      </c>
      <c r="H119" s="6">
        <v>20</v>
      </c>
    </row>
    <row r="120" spans="1:8" s="3" customFormat="1">
      <c r="A120" s="3" t="s">
        <v>0</v>
      </c>
      <c r="B120" s="3" t="s">
        <v>13</v>
      </c>
      <c r="C120" s="11">
        <f>C119+H120+H121+H119</f>
        <v>410.26</v>
      </c>
      <c r="D120" s="3" t="s">
        <v>1</v>
      </c>
      <c r="E120" s="11">
        <f>E119</f>
        <v>26.009600000000002</v>
      </c>
      <c r="F120" s="3" t="s">
        <v>2</v>
      </c>
      <c r="G120" s="3" t="s">
        <v>153</v>
      </c>
      <c r="H120" s="6">
        <v>200</v>
      </c>
    </row>
    <row r="121" spans="1:8" s="3" customFormat="1">
      <c r="A121" s="3" t="s">
        <v>0</v>
      </c>
      <c r="B121" s="3" t="s">
        <v>13</v>
      </c>
      <c r="C121" s="11">
        <f>C120</f>
        <v>410.26</v>
      </c>
      <c r="D121" s="3" t="s">
        <v>1</v>
      </c>
      <c r="E121" s="11">
        <f>MIN(TAN($I$7*3.1415/180)*$C$122, TAN($M$7*3.1415/180)*($C$122-$K$5))</f>
        <v>77.997796685892112</v>
      </c>
      <c r="F121" s="3" t="s">
        <v>2</v>
      </c>
      <c r="G121" s="3" t="s">
        <v>154</v>
      </c>
      <c r="H121" s="6">
        <v>35</v>
      </c>
    </row>
    <row r="122" spans="1:8" s="3" customFormat="1">
      <c r="A122" s="3" t="s">
        <v>0</v>
      </c>
      <c r="B122" s="3" t="s">
        <v>13</v>
      </c>
      <c r="C122" s="11">
        <f>C121-H121</f>
        <v>375.26</v>
      </c>
      <c r="D122" s="3" t="s">
        <v>1</v>
      </c>
      <c r="E122" s="11">
        <f>E121</f>
        <v>77.997796685892112</v>
      </c>
      <c r="F122" s="3" t="s">
        <v>2</v>
      </c>
    </row>
    <row r="123" spans="1:8" s="3" customFormat="1">
      <c r="A123" s="3" t="s">
        <v>0</v>
      </c>
      <c r="B123" s="3" t="s">
        <v>13</v>
      </c>
      <c r="C123" s="11">
        <f>C119</f>
        <v>155.26</v>
      </c>
      <c r="D123" s="3" t="s">
        <v>1</v>
      </c>
      <c r="E123" s="11">
        <f>TAN($I$7*3.1415/180)*C123</f>
        <v>47.466259994498792</v>
      </c>
      <c r="F123" s="3" t="s">
        <v>2</v>
      </c>
    </row>
    <row r="124" spans="1:8" s="3" customFormat="1">
      <c r="A124" s="3" t="s">
        <v>0</v>
      </c>
      <c r="B124" s="3" t="s">
        <v>13</v>
      </c>
      <c r="C124" s="11">
        <f>C119</f>
        <v>155.26</v>
      </c>
      <c r="D124" s="3" t="s">
        <v>1</v>
      </c>
      <c r="E124" s="11">
        <f>E119</f>
        <v>26.009600000000002</v>
      </c>
      <c r="F124" s="3" t="s">
        <v>2</v>
      </c>
    </row>
    <row r="125" spans="1:8" s="3" customFormat="1">
      <c r="A125" s="3" t="s">
        <v>118</v>
      </c>
      <c r="C125" s="10"/>
      <c r="E125" s="10"/>
    </row>
    <row r="126" spans="1:8" s="3" customFormat="1">
      <c r="A126" s="3" t="s">
        <v>155</v>
      </c>
      <c r="B126" s="3" t="s">
        <v>152</v>
      </c>
      <c r="C126" s="9">
        <f>C117+1</f>
        <v>11</v>
      </c>
      <c r="E126" s="10"/>
    </row>
    <row r="127" spans="1:8" s="3" customFormat="1">
      <c r="A127" s="3" t="s">
        <v>16</v>
      </c>
      <c r="B127" s="3" t="s">
        <v>17</v>
      </c>
      <c r="C127" s="10" t="s">
        <v>2</v>
      </c>
      <c r="E127" s="10"/>
    </row>
    <row r="128" spans="1:8" s="3" customFormat="1">
      <c r="A128" s="3" t="s">
        <v>0</v>
      </c>
      <c r="B128" s="3" t="s">
        <v>13</v>
      </c>
      <c r="C128" s="11">
        <f>D10</f>
        <v>175.26</v>
      </c>
      <c r="D128" s="3" t="s">
        <v>1</v>
      </c>
      <c r="E128" s="11">
        <f>D9</f>
        <v>261</v>
      </c>
      <c r="F128" s="3" t="s">
        <v>2</v>
      </c>
      <c r="G128" s="3" t="s">
        <v>159</v>
      </c>
      <c r="H128" s="6">
        <v>25</v>
      </c>
    </row>
    <row r="129" spans="1:8" s="3" customFormat="1">
      <c r="A129" s="3" t="s">
        <v>0</v>
      </c>
      <c r="B129" s="3" t="s">
        <v>13</v>
      </c>
      <c r="C129" s="11">
        <f>C128+H128/2</f>
        <v>187.76</v>
      </c>
      <c r="D129" s="3" t="s">
        <v>1</v>
      </c>
      <c r="E129" s="11">
        <f>E128</f>
        <v>261</v>
      </c>
      <c r="F129" s="3" t="s">
        <v>2</v>
      </c>
      <c r="G129" s="3" t="s">
        <v>163</v>
      </c>
      <c r="H129" s="6">
        <v>60</v>
      </c>
    </row>
    <row r="130" spans="1:8" s="3" customFormat="1">
      <c r="A130" s="3" t="s">
        <v>0</v>
      </c>
      <c r="B130" s="3" t="s">
        <v>13</v>
      </c>
      <c r="C130" s="11">
        <f>C129</f>
        <v>187.76</v>
      </c>
      <c r="D130" s="3" t="s">
        <v>1</v>
      </c>
      <c r="E130" s="11">
        <f>E129-15</f>
        <v>246</v>
      </c>
      <c r="F130" s="3" t="s">
        <v>2</v>
      </c>
      <c r="G130" s="3" t="s">
        <v>118</v>
      </c>
      <c r="H130" s="3">
        <f>ATAN2(C130,E130)*180/3.1415</f>
        <v>52.64879532384419</v>
      </c>
    </row>
    <row r="131" spans="1:8" s="3" customFormat="1">
      <c r="A131" s="3" t="s">
        <v>0</v>
      </c>
      <c r="B131" s="3" t="s">
        <v>13</v>
      </c>
      <c r="C131" s="11">
        <f>C128+H128</f>
        <v>200.26</v>
      </c>
      <c r="D131" s="3" t="s">
        <v>1</v>
      </c>
      <c r="E131" s="11">
        <f>E130-15</f>
        <v>231</v>
      </c>
      <c r="F131" s="3" t="s">
        <v>2</v>
      </c>
    </row>
    <row r="132" spans="1:8" s="3" customFormat="1">
      <c r="A132" t="s">
        <v>0</v>
      </c>
      <c r="B132" s="3" t="s">
        <v>13</v>
      </c>
      <c r="C132" s="11">
        <f>C131</f>
        <v>200.26</v>
      </c>
      <c r="D132" s="3" t="s">
        <v>1</v>
      </c>
      <c r="E132" s="11">
        <f>E135</f>
        <v>164.5</v>
      </c>
      <c r="F132" s="3" t="s">
        <v>2</v>
      </c>
      <c r="G132" s="3" t="s">
        <v>118</v>
      </c>
      <c r="H132" s="3">
        <f>ATAN2(C132,E132)*180/3.1415</f>
        <v>39.40194475305065</v>
      </c>
    </row>
    <row r="133" spans="1:8" s="3" customFormat="1">
      <c r="A133" t="s">
        <v>0</v>
      </c>
      <c r="B133" s="3" t="s">
        <v>13</v>
      </c>
      <c r="C133" s="11">
        <f>C128+H128*2/3</f>
        <v>191.92666666666665</v>
      </c>
      <c r="D133" s="3" t="s">
        <v>1</v>
      </c>
      <c r="E133" s="11">
        <f>$B$10-H134</f>
        <v>149</v>
      </c>
      <c r="F133" s="3" t="s">
        <v>2</v>
      </c>
    </row>
    <row r="134" spans="1:8" s="3" customFormat="1">
      <c r="A134" t="s">
        <v>0</v>
      </c>
      <c r="B134" s="3" t="s">
        <v>13</v>
      </c>
      <c r="C134" s="11">
        <f>C128+H128/3</f>
        <v>183.59333333333333</v>
      </c>
      <c r="D134" s="3" t="s">
        <v>1</v>
      </c>
      <c r="E134" s="11">
        <f>$B$10-H134</f>
        <v>149</v>
      </c>
      <c r="F134" s="3" t="s">
        <v>2</v>
      </c>
      <c r="G134" s="3" t="s">
        <v>167</v>
      </c>
      <c r="H134" s="3">
        <v>5</v>
      </c>
    </row>
    <row r="135" spans="1:8" s="3" customFormat="1">
      <c r="A135" t="s">
        <v>0</v>
      </c>
      <c r="B135" s="3" t="s">
        <v>13</v>
      </c>
      <c r="C135" s="11">
        <f>C128+H128/3</f>
        <v>183.59333333333333</v>
      </c>
      <c r="D135" s="3" t="s">
        <v>1</v>
      </c>
      <c r="E135" s="11">
        <f>(E134+E79)/2</f>
        <v>164.5</v>
      </c>
      <c r="F135" s="3" t="s">
        <v>2</v>
      </c>
    </row>
    <row r="136" spans="1:8" s="3" customFormat="1">
      <c r="A136" t="s">
        <v>0</v>
      </c>
      <c r="B136" s="3" t="s">
        <v>13</v>
      </c>
      <c r="C136" s="11">
        <f>C128</f>
        <v>175.26</v>
      </c>
      <c r="D136" s="3" t="s">
        <v>1</v>
      </c>
      <c r="E136" s="11">
        <f>E79</f>
        <v>180</v>
      </c>
      <c r="F136" s="3" t="s">
        <v>2</v>
      </c>
    </row>
    <row r="137" spans="1:8" s="3" customFormat="1">
      <c r="A137" s="3" t="s">
        <v>0</v>
      </c>
      <c r="B137" s="3" t="s">
        <v>13</v>
      </c>
      <c r="C137" s="11">
        <f>C128</f>
        <v>175.26</v>
      </c>
      <c r="D137" s="3" t="s">
        <v>1</v>
      </c>
      <c r="E137" s="11">
        <f>E128</f>
        <v>261</v>
      </c>
      <c r="F137" s="3" t="s">
        <v>2</v>
      </c>
    </row>
    <row r="138" spans="1:8" s="3" customFormat="1">
      <c r="A138" s="3" t="s">
        <v>118</v>
      </c>
      <c r="C138" s="10"/>
      <c r="E138" s="10"/>
    </row>
    <row r="139" spans="1:8" s="3" customFormat="1">
      <c r="A139" s="3" t="s">
        <v>156</v>
      </c>
      <c r="B139" s="3" t="s">
        <v>152</v>
      </c>
      <c r="C139" s="9">
        <f>C126+1</f>
        <v>12</v>
      </c>
      <c r="E139" s="10"/>
    </row>
    <row r="140" spans="1:8" s="3" customFormat="1">
      <c r="A140" s="3" t="s">
        <v>16</v>
      </c>
      <c r="B140" s="3" t="s">
        <v>17</v>
      </c>
      <c r="C140" s="10" t="s">
        <v>2</v>
      </c>
      <c r="E140" s="10"/>
    </row>
    <row r="141" spans="1:8" s="3" customFormat="1">
      <c r="A141" s="3" t="s">
        <v>0</v>
      </c>
      <c r="B141" s="3" t="s">
        <v>13</v>
      </c>
      <c r="C141" s="11">
        <f>C129</f>
        <v>187.76</v>
      </c>
      <c r="D141" s="3" t="s">
        <v>1</v>
      </c>
      <c r="E141" s="11">
        <f>E129+H129</f>
        <v>321</v>
      </c>
      <c r="F141" s="3" t="s">
        <v>2</v>
      </c>
    </row>
    <row r="142" spans="1:8" s="3" customFormat="1">
      <c r="A142" s="3" t="s">
        <v>0</v>
      </c>
      <c r="B142" s="3" t="s">
        <v>13</v>
      </c>
      <c r="C142" s="11">
        <f>C120</f>
        <v>410.26</v>
      </c>
      <c r="D142" s="3" t="s">
        <v>1</v>
      </c>
      <c r="E142" s="11">
        <f>E141</f>
        <v>321</v>
      </c>
      <c r="F142" s="3" t="s">
        <v>2</v>
      </c>
      <c r="G142" s="3" t="s">
        <v>157</v>
      </c>
      <c r="H142" s="6">
        <v>40</v>
      </c>
    </row>
    <row r="143" spans="1:8" s="3" customFormat="1">
      <c r="A143" s="3" t="s">
        <v>0</v>
      </c>
      <c r="B143" s="3" t="s">
        <v>13</v>
      </c>
      <c r="C143" s="11">
        <f>C142</f>
        <v>410.26</v>
      </c>
      <c r="D143" s="3" t="s">
        <v>1</v>
      </c>
      <c r="E143" s="11">
        <f>E142-H142</f>
        <v>281</v>
      </c>
      <c r="F143" s="3" t="s">
        <v>2</v>
      </c>
    </row>
    <row r="144" spans="1:8" s="3" customFormat="1">
      <c r="A144" s="3" t="s">
        <v>0</v>
      </c>
      <c r="B144" s="3" t="s">
        <v>13</v>
      </c>
      <c r="C144" s="11">
        <f>C141</f>
        <v>187.76</v>
      </c>
      <c r="D144" s="3" t="s">
        <v>1</v>
      </c>
      <c r="E144" s="11">
        <f>E143</f>
        <v>281</v>
      </c>
      <c r="F144" s="3" t="s">
        <v>2</v>
      </c>
    </row>
    <row r="145" spans="1:8" s="3" customFormat="1">
      <c r="A145" s="3" t="s">
        <v>0</v>
      </c>
      <c r="B145" s="3" t="s">
        <v>13</v>
      </c>
      <c r="C145" s="11">
        <f>C141</f>
        <v>187.76</v>
      </c>
      <c r="D145" s="3" t="s">
        <v>1</v>
      </c>
      <c r="E145" s="11">
        <f>E141</f>
        <v>321</v>
      </c>
      <c r="F145" s="3" t="s">
        <v>2</v>
      </c>
    </row>
    <row r="146" spans="1:8" s="3" customFormat="1">
      <c r="A146" s="3" t="s">
        <v>118</v>
      </c>
      <c r="C146" s="10"/>
      <c r="E146" s="10"/>
    </row>
    <row r="147" spans="1:8" s="3" customFormat="1">
      <c r="A147" s="3" t="s">
        <v>160</v>
      </c>
      <c r="B147" s="3" t="s">
        <v>152</v>
      </c>
      <c r="C147" s="9">
        <f>C139+1</f>
        <v>13</v>
      </c>
      <c r="E147" s="10"/>
      <c r="G147" s="3" t="s">
        <v>161</v>
      </c>
      <c r="H147" s="6">
        <v>1</v>
      </c>
    </row>
    <row r="148" spans="1:8" s="3" customFormat="1">
      <c r="A148" s="3" t="s">
        <v>16</v>
      </c>
      <c r="B148" s="3" t="s">
        <v>17</v>
      </c>
      <c r="C148" s="10" t="s">
        <v>2</v>
      </c>
      <c r="E148" s="10"/>
      <c r="G148" s="3" t="s">
        <v>162</v>
      </c>
      <c r="H148" s="3">
        <f>H121</f>
        <v>35</v>
      </c>
    </row>
    <row r="149" spans="1:8" s="3" customFormat="1">
      <c r="A149" s="3" t="s">
        <v>0</v>
      </c>
      <c r="B149" s="3" t="s">
        <v>13</v>
      </c>
      <c r="C149" s="11">
        <f>C122</f>
        <v>375.26</v>
      </c>
      <c r="D149" s="3" t="s">
        <v>1</v>
      </c>
      <c r="E149" s="11">
        <f>E$121</f>
        <v>77.997796685892112</v>
      </c>
      <c r="F149" s="3" t="s">
        <v>2</v>
      </c>
    </row>
    <row r="150" spans="1:8" s="3" customFormat="1">
      <c r="A150" s="3" t="s">
        <v>0</v>
      </c>
      <c r="B150" s="3" t="s">
        <v>13</v>
      </c>
      <c r="C150" s="11">
        <f>C149+$H$148</f>
        <v>410.26</v>
      </c>
      <c r="D150" s="3" t="s">
        <v>1</v>
      </c>
      <c r="E150" s="11">
        <f>E149</f>
        <v>77.997796685892112</v>
      </c>
      <c r="F150" s="3" t="s">
        <v>2</v>
      </c>
    </row>
    <row r="151" spans="1:8" s="3" customFormat="1">
      <c r="A151" s="3" t="s">
        <v>0</v>
      </c>
      <c r="B151" s="3" t="s">
        <v>13</v>
      </c>
      <c r="C151" s="11">
        <f>C150</f>
        <v>410.26</v>
      </c>
      <c r="D151" s="3" t="s">
        <v>1</v>
      </c>
      <c r="E151" s="11">
        <f>E$143</f>
        <v>281</v>
      </c>
      <c r="F151" s="3" t="s">
        <v>2</v>
      </c>
    </row>
    <row r="152" spans="1:8" s="3" customFormat="1">
      <c r="A152" s="3" t="s">
        <v>0</v>
      </c>
      <c r="B152" s="3" t="s">
        <v>13</v>
      </c>
      <c r="C152" s="11">
        <f>C149</f>
        <v>375.26</v>
      </c>
      <c r="D152" s="3" t="s">
        <v>1</v>
      </c>
      <c r="E152" s="11">
        <f>E151</f>
        <v>281</v>
      </c>
      <c r="F152" s="3" t="s">
        <v>2</v>
      </c>
    </row>
    <row r="153" spans="1:8" s="3" customFormat="1">
      <c r="A153" s="3" t="s">
        <v>0</v>
      </c>
      <c r="B153" s="3" t="s">
        <v>13</v>
      </c>
      <c r="C153" s="11">
        <f>C149</f>
        <v>375.26</v>
      </c>
      <c r="D153" s="3" t="s">
        <v>1</v>
      </c>
      <c r="E153" s="11">
        <f>E149</f>
        <v>77.997796685892112</v>
      </c>
      <c r="F153" s="3" t="s">
        <v>2</v>
      </c>
    </row>
    <row r="154" spans="1:8">
      <c r="A154" s="3" t="s">
        <v>118</v>
      </c>
      <c r="B154" s="3"/>
      <c r="C154" s="10"/>
      <c r="D154" s="3"/>
      <c r="E154" s="10"/>
      <c r="F154" s="3"/>
    </row>
    <row r="155" spans="1:8">
      <c r="A155" s="3" t="s">
        <v>172</v>
      </c>
      <c r="B155" s="3" t="s">
        <v>152</v>
      </c>
      <c r="C155" s="9">
        <f>C147+1</f>
        <v>14</v>
      </c>
      <c r="D155" s="3"/>
      <c r="E155" s="10"/>
      <c r="F155" s="3"/>
    </row>
    <row r="156" spans="1:8">
      <c r="A156" s="3" t="s">
        <v>16</v>
      </c>
      <c r="B156" s="3" t="s">
        <v>17</v>
      </c>
      <c r="C156" s="10" t="s">
        <v>2</v>
      </c>
      <c r="D156" s="3"/>
      <c r="E156" s="10"/>
      <c r="F156" s="3"/>
    </row>
    <row r="157" spans="1:8">
      <c r="A157" s="3" t="s">
        <v>0</v>
      </c>
      <c r="B157" s="3" t="s">
        <v>13</v>
      </c>
      <c r="C157" s="11">
        <f>C141</f>
        <v>187.76</v>
      </c>
      <c r="D157" s="3" t="s">
        <v>1</v>
      </c>
      <c r="E157" s="11">
        <f>E141</f>
        <v>321</v>
      </c>
      <c r="F157" s="3" t="s">
        <v>2</v>
      </c>
      <c r="G157" s="2" t="s">
        <v>173</v>
      </c>
      <c r="H157" s="2">
        <v>150</v>
      </c>
    </row>
    <row r="158" spans="1:8">
      <c r="A158" s="3" t="s">
        <v>0</v>
      </c>
      <c r="B158" s="3" t="s">
        <v>13</v>
      </c>
      <c r="C158" s="11">
        <f>C157-H157</f>
        <v>37.759999999999991</v>
      </c>
      <c r="D158" s="3" t="s">
        <v>1</v>
      </c>
      <c r="E158" s="11">
        <f>E73</f>
        <v>261</v>
      </c>
      <c r="F158" s="3" t="s">
        <v>2</v>
      </c>
    </row>
    <row r="159" spans="1:8">
      <c r="A159" s="3" t="s">
        <v>0</v>
      </c>
      <c r="B159" s="3" t="s">
        <v>13</v>
      </c>
      <c r="C159" s="11">
        <f>C157</f>
        <v>187.76</v>
      </c>
      <c r="D159" s="3" t="s">
        <v>1</v>
      </c>
      <c r="E159" s="11">
        <f>E158</f>
        <v>261</v>
      </c>
      <c r="F159" s="3" t="s">
        <v>2</v>
      </c>
    </row>
    <row r="160" spans="1:8">
      <c r="A160" s="3" t="s">
        <v>0</v>
      </c>
      <c r="B160" s="3" t="s">
        <v>13</v>
      </c>
      <c r="C160" s="11">
        <f>C157</f>
        <v>187.76</v>
      </c>
      <c r="D160" s="3" t="s">
        <v>1</v>
      </c>
      <c r="E160" s="11">
        <f>E157</f>
        <v>321</v>
      </c>
      <c r="F160" s="3" t="s">
        <v>2</v>
      </c>
    </row>
    <row r="161" spans="1:8">
      <c r="A161" s="3" t="s">
        <v>118</v>
      </c>
      <c r="B161" s="3"/>
      <c r="C161" s="3"/>
      <c r="D161" s="3"/>
      <c r="E161" s="3"/>
      <c r="F161" s="3"/>
    </row>
    <row r="162" spans="1:8">
      <c r="A162" s="3" t="s">
        <v>177</v>
      </c>
      <c r="B162" s="3" t="s">
        <v>152</v>
      </c>
      <c r="C162" s="9">
        <f>C155+1</f>
        <v>15</v>
      </c>
      <c r="D162" s="3"/>
      <c r="E162" s="3"/>
      <c r="F162" s="3"/>
    </row>
    <row r="163" spans="1:8">
      <c r="A163" s="3" t="s">
        <v>16</v>
      </c>
      <c r="B163" s="3" t="s">
        <v>17</v>
      </c>
      <c r="C163" s="3" t="s">
        <v>2</v>
      </c>
      <c r="D163" s="3"/>
      <c r="E163" s="3"/>
      <c r="F163" s="3"/>
    </row>
    <row r="164" spans="1:8">
      <c r="A164" s="3" t="s">
        <v>0</v>
      </c>
      <c r="B164" s="3" t="s">
        <v>13</v>
      </c>
      <c r="C164" s="10">
        <f>C89</f>
        <v>-244.26</v>
      </c>
      <c r="D164" s="3" t="s">
        <v>1</v>
      </c>
      <c r="E164" s="10">
        <f>E89</f>
        <v>261</v>
      </c>
      <c r="F164" s="3" t="s">
        <v>2</v>
      </c>
      <c r="G164" s="2" t="s">
        <v>159</v>
      </c>
      <c r="H164" s="2">
        <v>25</v>
      </c>
    </row>
    <row r="165" spans="1:8">
      <c r="A165" s="3" t="s">
        <v>0</v>
      </c>
      <c r="B165" s="3" t="s">
        <v>13</v>
      </c>
      <c r="C165" s="10">
        <f>C88</f>
        <v>-204.26</v>
      </c>
      <c r="D165" s="3" t="s">
        <v>1</v>
      </c>
      <c r="E165" s="10">
        <f>E164+H164</f>
        <v>286</v>
      </c>
      <c r="F165" s="3" t="s">
        <v>2</v>
      </c>
      <c r="G165" s="2" t="s">
        <v>178</v>
      </c>
      <c r="H165" s="2">
        <v>150</v>
      </c>
    </row>
    <row r="166" spans="1:8">
      <c r="A166" s="3" t="s">
        <v>0</v>
      </c>
      <c r="B166" s="3" t="s">
        <v>13</v>
      </c>
      <c r="C166" s="10">
        <f>C164+H165-(C165-C164)</f>
        <v>-134.26</v>
      </c>
      <c r="D166" s="3" t="s">
        <v>1</v>
      </c>
      <c r="E166" s="10">
        <f>E165</f>
        <v>286</v>
      </c>
      <c r="F166" s="3" t="s">
        <v>2</v>
      </c>
    </row>
    <row r="167" spans="1:8">
      <c r="A167" s="3" t="s">
        <v>0</v>
      </c>
      <c r="B167" s="3" t="s">
        <v>13</v>
      </c>
      <c r="C167" s="10">
        <f>C164+H165</f>
        <v>-94.259999999999991</v>
      </c>
      <c r="D167" s="3" t="s">
        <v>1</v>
      </c>
      <c r="E167" s="10">
        <f>E164</f>
        <v>261</v>
      </c>
      <c r="F167" s="3" t="s">
        <v>2</v>
      </c>
    </row>
    <row r="168" spans="1:8">
      <c r="A168" s="3" t="s">
        <v>0</v>
      </c>
      <c r="B168" s="3" t="s">
        <v>13</v>
      </c>
      <c r="C168" s="10">
        <f>C164</f>
        <v>-244.26</v>
      </c>
      <c r="D168" s="3" t="s">
        <v>1</v>
      </c>
      <c r="E168" s="10">
        <f>E164</f>
        <v>261</v>
      </c>
      <c r="F168" s="3" t="s">
        <v>2</v>
      </c>
    </row>
    <row r="169" spans="1:8">
      <c r="A169" s="3" t="s">
        <v>118</v>
      </c>
      <c r="B169" s="3"/>
      <c r="C169" s="3"/>
      <c r="D169" s="3"/>
      <c r="E169" s="3"/>
      <c r="F169" s="3"/>
    </row>
    <row r="170" spans="1:8">
      <c r="A170" s="3" t="s">
        <v>182</v>
      </c>
      <c r="B170" s="3" t="s">
        <v>152</v>
      </c>
      <c r="C170" s="9">
        <f>1+C162</f>
        <v>16</v>
      </c>
      <c r="D170" s="3"/>
      <c r="E170" s="3"/>
      <c r="F170" s="3"/>
    </row>
    <row r="171" spans="1:8">
      <c r="A171" s="3" t="s">
        <v>186</v>
      </c>
      <c r="B171" s="3" t="s">
        <v>17</v>
      </c>
      <c r="C171" s="3" t="s">
        <v>2</v>
      </c>
      <c r="D171" s="3"/>
      <c r="E171" s="3"/>
      <c r="F171" s="3"/>
    </row>
    <row r="172" spans="1:8">
      <c r="A172" s="3" t="s">
        <v>187</v>
      </c>
      <c r="B172" s="3" t="s">
        <v>13</v>
      </c>
      <c r="C172" s="10">
        <v>240</v>
      </c>
      <c r="D172" s="3" t="s">
        <v>1</v>
      </c>
      <c r="E172" s="10">
        <f>E143</f>
        <v>281</v>
      </c>
      <c r="F172" s="3" t="s">
        <v>2</v>
      </c>
      <c r="G172" s="2" t="s">
        <v>183</v>
      </c>
      <c r="H172" s="2">
        <v>55</v>
      </c>
    </row>
    <row r="173" spans="1:8">
      <c r="A173" s="3" t="s">
        <v>187</v>
      </c>
      <c r="B173" s="3" t="s">
        <v>13</v>
      </c>
      <c r="C173" s="10">
        <f>C172+H173</f>
        <v>260</v>
      </c>
      <c r="D173" s="3" t="s">
        <v>1</v>
      </c>
      <c r="E173" s="10">
        <f>E172-H172</f>
        <v>226</v>
      </c>
      <c r="F173" s="3" t="s">
        <v>2</v>
      </c>
      <c r="G173" s="2" t="s">
        <v>184</v>
      </c>
      <c r="H173" s="2">
        <v>20</v>
      </c>
    </row>
    <row r="174" spans="1:8">
      <c r="A174" s="3" t="s">
        <v>187</v>
      </c>
      <c r="B174" s="3" t="s">
        <v>13</v>
      </c>
      <c r="C174" s="10">
        <f>C173+H174</f>
        <v>300</v>
      </c>
      <c r="D174" s="3" t="s">
        <v>1</v>
      </c>
      <c r="E174" s="10">
        <f>E172</f>
        <v>281</v>
      </c>
      <c r="F174" s="3" t="s">
        <v>2</v>
      </c>
      <c r="G174" s="2" t="s">
        <v>185</v>
      </c>
      <c r="H174" s="2">
        <v>40</v>
      </c>
    </row>
    <row r="175" spans="1:8">
      <c r="A175" s="3" t="s">
        <v>187</v>
      </c>
      <c r="B175" s="3" t="s">
        <v>13</v>
      </c>
      <c r="C175" s="10">
        <f>C172</f>
        <v>240</v>
      </c>
      <c r="D175" s="3" t="s">
        <v>1</v>
      </c>
      <c r="E175" s="10">
        <f>E172</f>
        <v>281</v>
      </c>
      <c r="F175" s="3" t="s">
        <v>2</v>
      </c>
    </row>
    <row r="176" spans="1:8">
      <c r="A176" s="3" t="s">
        <v>118</v>
      </c>
      <c r="B176" s="3"/>
      <c r="C176" s="3"/>
      <c r="D176" s="3"/>
      <c r="E176" s="3"/>
      <c r="F176" s="3"/>
    </row>
    <row r="177" spans="1:6">
      <c r="A177" s="3" t="s">
        <v>182</v>
      </c>
      <c r="B177" s="3" t="s">
        <v>152</v>
      </c>
      <c r="C177" s="9">
        <f>1+C169</f>
        <v>1</v>
      </c>
      <c r="D177" s="3"/>
      <c r="E177" s="3"/>
      <c r="F177" s="3"/>
    </row>
    <row r="178" spans="1:6">
      <c r="A178" s="3" t="s">
        <v>186</v>
      </c>
      <c r="B178" s="3" t="s">
        <v>17</v>
      </c>
      <c r="C178" s="3" t="s">
        <v>2</v>
      </c>
      <c r="D178" s="3"/>
      <c r="E178" s="3"/>
      <c r="F178" s="3"/>
    </row>
    <row r="179" spans="1:6">
      <c r="A179" s="3" t="s">
        <v>187</v>
      </c>
      <c r="B179" s="3" t="s">
        <v>13</v>
      </c>
      <c r="C179" s="10">
        <f>C172</f>
        <v>240</v>
      </c>
      <c r="D179" s="3" t="s">
        <v>1</v>
      </c>
      <c r="E179" s="10">
        <f>E172</f>
        <v>281</v>
      </c>
      <c r="F179" s="3" t="s">
        <v>2</v>
      </c>
    </row>
    <row r="180" spans="1:6">
      <c r="A180" s="3" t="s">
        <v>187</v>
      </c>
      <c r="B180" s="3" t="s">
        <v>13</v>
      </c>
      <c r="C180" s="10">
        <f>C144</f>
        <v>187.76</v>
      </c>
      <c r="D180" s="3" t="s">
        <v>1</v>
      </c>
      <c r="E180" s="10">
        <f>E144</f>
        <v>281</v>
      </c>
      <c r="F180" s="3" t="s">
        <v>2</v>
      </c>
    </row>
    <row r="181" spans="1:6">
      <c r="A181" s="3" t="s">
        <v>187</v>
      </c>
      <c r="B181" s="3" t="s">
        <v>13</v>
      </c>
      <c r="C181" s="10">
        <f>C130</f>
        <v>187.76</v>
      </c>
      <c r="D181" s="3" t="s">
        <v>1</v>
      </c>
      <c r="E181" s="10">
        <f>E130</f>
        <v>246</v>
      </c>
      <c r="F181" s="3" t="s">
        <v>2</v>
      </c>
    </row>
    <row r="182" spans="1:6">
      <c r="A182" s="3" t="s">
        <v>187</v>
      </c>
      <c r="B182" s="3" t="s">
        <v>13</v>
      </c>
      <c r="C182" s="10">
        <f>C131</f>
        <v>200.26</v>
      </c>
      <c r="D182" s="3" t="s">
        <v>1</v>
      </c>
      <c r="E182" s="10">
        <f>E131</f>
        <v>231</v>
      </c>
      <c r="F182" s="3" t="s">
        <v>2</v>
      </c>
    </row>
    <row r="183" spans="1:6">
      <c r="A183" s="3" t="s">
        <v>187</v>
      </c>
      <c r="B183" s="3" t="s">
        <v>13</v>
      </c>
      <c r="C183" s="10">
        <f>(C172+C173)/2</f>
        <v>250</v>
      </c>
      <c r="D183" s="3" t="s">
        <v>1</v>
      </c>
      <c r="E183" s="10">
        <f>(E172+E173)/2</f>
        <v>253.5</v>
      </c>
      <c r="F183" s="3" t="s">
        <v>2</v>
      </c>
    </row>
    <row r="184" spans="1:6">
      <c r="A184" s="3" t="s">
        <v>187</v>
      </c>
      <c r="B184" s="3" t="s">
        <v>13</v>
      </c>
      <c r="C184" s="10">
        <f>C179</f>
        <v>240</v>
      </c>
      <c r="D184" s="3" t="s">
        <v>1</v>
      </c>
      <c r="E184" s="10">
        <f>E179</f>
        <v>281</v>
      </c>
      <c r="F184" s="3" t="s">
        <v>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zoomScale="150" zoomScaleNormal="150" zoomScalePageLayoutView="150" workbookViewId="0">
      <pane ySplit="11" topLeftCell="A12" activePane="bottomLeft" state="frozen"/>
      <selection pane="bottomLeft" activeCell="H6" sqref="H6:I7"/>
    </sheetView>
  </sheetViews>
  <sheetFormatPr baseColWidth="10" defaultColWidth="8.83203125" defaultRowHeight="12" x14ac:dyDescent="0"/>
  <cols>
    <col min="1" max="1" width="14.1640625" style="2" customWidth="1"/>
    <col min="2" max="4" width="8.83203125" style="2"/>
    <col min="5" max="5" width="11" style="2" bestFit="1" customWidth="1"/>
    <col min="6" max="16384" width="8.83203125" style="2"/>
  </cols>
  <sheetData>
    <row r="1" spans="1:11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1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1" s="3" customFormat="1">
      <c r="A3" s="3" t="s">
        <v>118</v>
      </c>
      <c r="D3" s="3" t="s">
        <v>35</v>
      </c>
      <c r="E3" s="3">
        <v>15.3</v>
      </c>
    </row>
    <row r="4" spans="1:11" s="3" customFormat="1">
      <c r="A4" s="3" t="s">
        <v>144</v>
      </c>
      <c r="B4" s="5">
        <f>(B10+B11)/2</f>
        <v>155</v>
      </c>
      <c r="D4" s="3" t="s">
        <v>72</v>
      </c>
      <c r="E4" s="3">
        <v>50</v>
      </c>
    </row>
    <row r="5" spans="1:11" s="3" customFormat="1">
      <c r="A5" s="3" t="s">
        <v>145</v>
      </c>
      <c r="B5" s="3">
        <v>3250</v>
      </c>
    </row>
    <row r="6" spans="1:11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  <c r="H6" t="s">
        <v>34</v>
      </c>
      <c r="I6">
        <v>35</v>
      </c>
    </row>
    <row r="7" spans="1:11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  <c r="H7" t="s">
        <v>35</v>
      </c>
      <c r="I7">
        <v>17</v>
      </c>
    </row>
    <row r="8" spans="1:11" s="3" customFormat="1">
      <c r="A8" s="3" t="s">
        <v>148</v>
      </c>
      <c r="B8" s="3">
        <v>175</v>
      </c>
      <c r="F8" s="3">
        <f>ATAN(B10/B8)</f>
        <v>0.72165485086476122</v>
      </c>
    </row>
    <row r="9" spans="1:11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</row>
    <row r="10" spans="1:11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</row>
    <row r="11" spans="1:11" s="3" customFormat="1">
      <c r="A11" s="3" t="s">
        <v>151</v>
      </c>
      <c r="B11" s="3">
        <v>156</v>
      </c>
      <c r="C11" s="3" t="s">
        <v>137</v>
      </c>
      <c r="D11" s="3">
        <v>95</v>
      </c>
    </row>
    <row r="12" spans="1:11" s="3" customFormat="1">
      <c r="A12" s="3" t="s">
        <v>124</v>
      </c>
    </row>
    <row r="13" spans="1:11" s="3" customFormat="1">
      <c r="A13" s="3" t="s">
        <v>118</v>
      </c>
    </row>
    <row r="14" spans="1:11" s="3" customFormat="1">
      <c r="A14" s="3" t="s">
        <v>55</v>
      </c>
      <c r="B14" s="3">
        <v>0</v>
      </c>
      <c r="C14" s="3" t="s">
        <v>56</v>
      </c>
      <c r="D14" s="3" t="s">
        <v>57</v>
      </c>
    </row>
    <row r="15" spans="1:11" s="3" customFormat="1">
      <c r="A15" s="3" t="s">
        <v>58</v>
      </c>
      <c r="B15" s="3">
        <v>-1</v>
      </c>
      <c r="D15" s="3" t="s">
        <v>59</v>
      </c>
    </row>
    <row r="16" spans="1:11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20</v>
      </c>
      <c r="C27" s="3" t="s">
        <v>20</v>
      </c>
      <c r="D27" s="3">
        <f>INT(F27*$B$30)</f>
        <v>2</v>
      </c>
      <c r="E27" s="3" t="s">
        <v>119</v>
      </c>
      <c r="F27" s="3">
        <v>0.01</v>
      </c>
    </row>
    <row r="28" spans="1:6" s="3" customFormat="1">
      <c r="A28" s="3" t="s">
        <v>21</v>
      </c>
      <c r="B28" s="3">
        <v>145</v>
      </c>
      <c r="C28" s="3" t="s">
        <v>22</v>
      </c>
      <c r="D28" s="3">
        <f>INT(F28*$B$30)</f>
        <v>100</v>
      </c>
      <c r="E28" s="3" t="s">
        <v>118</v>
      </c>
      <c r="F28" s="3">
        <v>0.4</v>
      </c>
    </row>
    <row r="29" spans="1:6" s="3" customFormat="1">
      <c r="A29" s="3" t="s">
        <v>23</v>
      </c>
      <c r="B29" s="3">
        <v>280</v>
      </c>
      <c r="C29" s="3" t="s">
        <v>24</v>
      </c>
      <c r="D29" s="3">
        <f>INT(F29*$B$30)</f>
        <v>237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250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-275</v>
      </c>
      <c r="C32" s="3" t="s">
        <v>30</v>
      </c>
      <c r="D32" s="3">
        <f>INT(F32*$B$36)</f>
        <v>22</v>
      </c>
      <c r="E32" s="3" t="s">
        <v>119</v>
      </c>
      <c r="F32" s="3">
        <v>0.03</v>
      </c>
    </row>
    <row r="33" spans="1:6" s="3" customFormat="1">
      <c r="A33" s="3" t="s">
        <v>164</v>
      </c>
      <c r="B33" s="3">
        <v>150</v>
      </c>
      <c r="C33" s="3" t="s">
        <v>31</v>
      </c>
      <c r="D33" s="3">
        <f>INT(F33*$B$36)</f>
        <v>412</v>
      </c>
      <c r="E33" s="3" t="s">
        <v>118</v>
      </c>
      <c r="F33" s="3">
        <v>0.55000000000000004</v>
      </c>
    </row>
    <row r="34" spans="1:6" s="3" customFormat="1">
      <c r="A34" s="3" t="s">
        <v>28</v>
      </c>
      <c r="B34" s="3">
        <v>400</v>
      </c>
      <c r="C34" s="3" t="s">
        <v>32</v>
      </c>
      <c r="D34" s="3">
        <f>INT(F34*$B$36)</f>
        <v>675</v>
      </c>
      <c r="E34" s="3" t="s">
        <v>118</v>
      </c>
      <c r="F34" s="3">
        <v>0.9</v>
      </c>
    </row>
    <row r="35" spans="1:6" s="3" customFormat="1">
      <c r="A35" s="3" t="s">
        <v>29</v>
      </c>
      <c r="B35" s="3">
        <v>500</v>
      </c>
      <c r="C35" s="3" t="s">
        <v>33</v>
      </c>
      <c r="D35" s="3">
        <f>INT(F35*$B$36)</f>
        <v>712</v>
      </c>
      <c r="E35" s="3" t="s">
        <v>118</v>
      </c>
      <c r="F35" s="3">
        <v>0.95</v>
      </c>
    </row>
    <row r="36" spans="1:6" s="3" customFormat="1">
      <c r="A36" s="3" t="s">
        <v>67</v>
      </c>
      <c r="B36" s="3">
        <v>750</v>
      </c>
      <c r="C36" s="3" t="s">
        <v>2</v>
      </c>
    </row>
    <row r="37" spans="1:6" s="3" customFormat="1">
      <c r="A37" s="3" t="s">
        <v>118</v>
      </c>
      <c r="B37" s="3" t="s">
        <v>152</v>
      </c>
      <c r="C37" s="3">
        <v>1</v>
      </c>
    </row>
    <row r="38" spans="1:6" s="3" customFormat="1">
      <c r="A38" s="3" t="s">
        <v>68</v>
      </c>
      <c r="B38" s="3">
        <v>-400</v>
      </c>
      <c r="C38" s="3" t="s">
        <v>69</v>
      </c>
      <c r="D38" s="3">
        <v>0</v>
      </c>
      <c r="E38" s="3" t="s">
        <v>70</v>
      </c>
      <c r="F38" s="3" t="s">
        <v>71</v>
      </c>
    </row>
    <row r="39" spans="1:6" s="3" customFormat="1">
      <c r="A39" s="3" t="s">
        <v>68</v>
      </c>
      <c r="B39" s="3">
        <v>600</v>
      </c>
      <c r="C39" s="3" t="s">
        <v>69</v>
      </c>
      <c r="D39" s="3">
        <v>0</v>
      </c>
      <c r="E39" s="3" t="s">
        <v>2</v>
      </c>
    </row>
    <row r="40" spans="1:6" s="3" customFormat="1">
      <c r="A40" s="3" t="s">
        <v>68</v>
      </c>
      <c r="B40" s="3">
        <f>B39</f>
        <v>600</v>
      </c>
      <c r="C40" s="3" t="s">
        <v>69</v>
      </c>
      <c r="D40" s="3">
        <v>400</v>
      </c>
      <c r="E40" s="3" t="s">
        <v>2</v>
      </c>
    </row>
    <row r="41" spans="1:6" s="3" customFormat="1">
      <c r="A41" s="3" t="s">
        <v>68</v>
      </c>
      <c r="B41" s="3">
        <f>B38</f>
        <v>-400</v>
      </c>
      <c r="C41" s="3" t="s">
        <v>69</v>
      </c>
      <c r="D41" s="3">
        <f>D40</f>
        <v>400</v>
      </c>
      <c r="E41" s="3" t="s">
        <v>2</v>
      </c>
    </row>
    <row r="42" spans="1:6" s="3" customFormat="1">
      <c r="A42" s="3" t="s">
        <v>68</v>
      </c>
      <c r="B42" s="3">
        <v>-400</v>
      </c>
      <c r="C42" s="3" t="s">
        <v>69</v>
      </c>
      <c r="D42" s="3">
        <v>0</v>
      </c>
      <c r="E42" s="3" t="s">
        <v>2</v>
      </c>
    </row>
    <row r="43" spans="1:6" s="3" customFormat="1">
      <c r="A43" s="3" t="s">
        <v>118</v>
      </c>
    </row>
    <row r="44" spans="1:6" s="3" customFormat="1">
      <c r="A44" s="3" t="s">
        <v>125</v>
      </c>
      <c r="B44" s="3" t="s">
        <v>152</v>
      </c>
      <c r="C44" s="9">
        <f>C37+1</f>
        <v>2</v>
      </c>
    </row>
    <row r="45" spans="1:6" s="3" customFormat="1">
      <c r="A45" s="3" t="s">
        <v>4</v>
      </c>
      <c r="B45" s="3" t="s">
        <v>5</v>
      </c>
      <c r="C45" s="10" t="s">
        <v>6</v>
      </c>
      <c r="D45" s="4">
        <f>D7*2*B5</f>
        <v>1078453.4538822924</v>
      </c>
      <c r="E45" s="3" t="s">
        <v>2</v>
      </c>
    </row>
    <row r="46" spans="1:6" s="3" customFormat="1">
      <c r="A46" s="3" t="s">
        <v>0</v>
      </c>
      <c r="B46" s="3" t="s">
        <v>13</v>
      </c>
      <c r="C46" s="11">
        <f>-B8</f>
        <v>-175</v>
      </c>
      <c r="D46" s="3" t="s">
        <v>1</v>
      </c>
      <c r="E46" s="4">
        <f>$B$11</f>
        <v>156</v>
      </c>
      <c r="F46" s="3" t="s">
        <v>2</v>
      </c>
    </row>
    <row r="47" spans="1:6" s="3" customFormat="1">
      <c r="A47" s="3" t="s">
        <v>0</v>
      </c>
      <c r="B47" s="3" t="s">
        <v>13</v>
      </c>
      <c r="C47" s="11">
        <f>-B9</f>
        <v>-87.5</v>
      </c>
      <c r="D47" s="3" t="s">
        <v>1</v>
      </c>
      <c r="E47" s="11">
        <f>E46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11">
        <f>C47</f>
        <v>-87.5</v>
      </c>
      <c r="D48" s="3" t="s">
        <v>1</v>
      </c>
      <c r="E48" s="11">
        <f>$B$10</f>
        <v>154</v>
      </c>
      <c r="F48" s="3" t="s">
        <v>2</v>
      </c>
    </row>
    <row r="49" spans="1:6" s="3" customFormat="1">
      <c r="A49" s="3" t="s">
        <v>0</v>
      </c>
      <c r="B49" s="3" t="s">
        <v>13</v>
      </c>
      <c r="C49" s="11">
        <f>C46</f>
        <v>-175</v>
      </c>
      <c r="D49" s="3" t="s">
        <v>1</v>
      </c>
      <c r="E49" s="11">
        <f>E48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11">
        <f>C46</f>
        <v>-175</v>
      </c>
      <c r="D50" s="3" t="s">
        <v>1</v>
      </c>
      <c r="E50" s="11">
        <f>E46</f>
        <v>156</v>
      </c>
      <c r="F50" s="3" t="s">
        <v>2</v>
      </c>
    </row>
    <row r="51" spans="1:6" s="3" customFormat="1">
      <c r="A51" s="3" t="s">
        <v>118</v>
      </c>
      <c r="C51" s="10"/>
      <c r="E51" s="10"/>
    </row>
    <row r="52" spans="1:6" s="3" customFormat="1">
      <c r="A52" s="3" t="s">
        <v>126</v>
      </c>
      <c r="B52" s="3" t="s">
        <v>152</v>
      </c>
      <c r="C52" s="9">
        <f>C44+1</f>
        <v>3</v>
      </c>
      <c r="E52" s="10"/>
    </row>
    <row r="53" spans="1:6" s="3" customFormat="1">
      <c r="A53" s="3" t="s">
        <v>4</v>
      </c>
      <c r="B53" s="3" t="s">
        <v>5</v>
      </c>
      <c r="C53" s="10" t="s">
        <v>6</v>
      </c>
      <c r="D53" s="4">
        <f>D6*2*B5</f>
        <v>2068093.0939154543</v>
      </c>
      <c r="E53" s="10" t="s">
        <v>2</v>
      </c>
    </row>
    <row r="54" spans="1:6" s="3" customFormat="1">
      <c r="A54" s="3" t="s">
        <v>0</v>
      </c>
      <c r="B54" s="3" t="s">
        <v>13</v>
      </c>
      <c r="C54" s="11">
        <f>-$B$9</f>
        <v>-87.5</v>
      </c>
      <c r="D54" s="3" t="s">
        <v>1</v>
      </c>
      <c r="E54" s="11">
        <f>$B$11</f>
        <v>156</v>
      </c>
      <c r="F54" s="3" t="s">
        <v>2</v>
      </c>
    </row>
    <row r="55" spans="1:6" s="3" customFormat="1">
      <c r="A55" s="3" t="s">
        <v>0</v>
      </c>
      <c r="B55" s="3" t="s">
        <v>13</v>
      </c>
      <c r="C55" s="11">
        <f>$B$9</f>
        <v>87.5</v>
      </c>
      <c r="D55" s="3" t="s">
        <v>1</v>
      </c>
      <c r="E55" s="11">
        <f>E54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11">
        <f>$B$9</f>
        <v>87.5</v>
      </c>
      <c r="D56" s="3" t="s">
        <v>1</v>
      </c>
      <c r="E56" s="11">
        <f>$B$10</f>
        <v>154</v>
      </c>
      <c r="F56" s="3" t="s">
        <v>2</v>
      </c>
    </row>
    <row r="57" spans="1:6" s="3" customFormat="1">
      <c r="A57" s="3" t="s">
        <v>0</v>
      </c>
      <c r="B57" s="3" t="s">
        <v>13</v>
      </c>
      <c r="C57" s="11">
        <f>-$B$9</f>
        <v>-87.5</v>
      </c>
      <c r="D57" s="3" t="s">
        <v>1</v>
      </c>
      <c r="E57" s="11">
        <f>E56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11">
        <f>-$B$9</f>
        <v>-87.5</v>
      </c>
      <c r="D58" s="3" t="s">
        <v>1</v>
      </c>
      <c r="E58" s="11">
        <f>E54</f>
        <v>156</v>
      </c>
      <c r="F58" s="3" t="s">
        <v>2</v>
      </c>
    </row>
    <row r="59" spans="1:6" s="3" customFormat="1">
      <c r="A59" s="3" t="s">
        <v>118</v>
      </c>
      <c r="C59" s="10"/>
      <c r="E59" s="10"/>
    </row>
    <row r="60" spans="1:6" s="3" customFormat="1">
      <c r="A60" s="3" t="s">
        <v>106</v>
      </c>
      <c r="B60" s="3" t="s">
        <v>152</v>
      </c>
      <c r="C60" s="9">
        <f>C52+1</f>
        <v>4</v>
      </c>
      <c r="E60" s="10"/>
    </row>
    <row r="61" spans="1:6" s="3" customFormat="1">
      <c r="A61" s="3" t="s">
        <v>4</v>
      </c>
      <c r="B61" s="3" t="s">
        <v>5</v>
      </c>
      <c r="C61" s="10" t="s">
        <v>6</v>
      </c>
      <c r="D61" s="4">
        <f>D45</f>
        <v>1078453.4538822924</v>
      </c>
      <c r="E61" s="10" t="s">
        <v>2</v>
      </c>
    </row>
    <row r="62" spans="1:6" s="3" customFormat="1">
      <c r="A62" s="3" t="s">
        <v>0</v>
      </c>
      <c r="B62" s="3" t="s">
        <v>13</v>
      </c>
      <c r="C62" s="11">
        <f>B8</f>
        <v>175</v>
      </c>
      <c r="D62" s="3" t="s">
        <v>1</v>
      </c>
      <c r="E62" s="11">
        <f>$B$11</f>
        <v>156</v>
      </c>
      <c r="F62" s="3" t="s">
        <v>2</v>
      </c>
    </row>
    <row r="63" spans="1:6" s="3" customFormat="1">
      <c r="A63" s="3" t="s">
        <v>0</v>
      </c>
      <c r="B63" s="3" t="s">
        <v>13</v>
      </c>
      <c r="C63" s="11">
        <f>B9</f>
        <v>87.5</v>
      </c>
      <c r="D63" s="3" t="s">
        <v>1</v>
      </c>
      <c r="E63" s="11">
        <f>E62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11">
        <f>B9</f>
        <v>87.5</v>
      </c>
      <c r="D64" s="3" t="s">
        <v>1</v>
      </c>
      <c r="E64" s="11">
        <f>$B$10</f>
        <v>154</v>
      </c>
      <c r="F64" s="3" t="s">
        <v>2</v>
      </c>
    </row>
    <row r="65" spans="1:6" s="3" customFormat="1">
      <c r="A65" s="3" t="s">
        <v>0</v>
      </c>
      <c r="B65" s="3" t="s">
        <v>13</v>
      </c>
      <c r="C65" s="11">
        <f>B8</f>
        <v>175</v>
      </c>
      <c r="D65" s="3" t="s">
        <v>1</v>
      </c>
      <c r="E65" s="11">
        <f>E64</f>
        <v>154</v>
      </c>
      <c r="F65" s="3" t="s">
        <v>2</v>
      </c>
    </row>
    <row r="66" spans="1:6" s="3" customFormat="1">
      <c r="A66" s="3" t="s">
        <v>0</v>
      </c>
      <c r="B66" s="3" t="s">
        <v>13</v>
      </c>
      <c r="C66" s="11">
        <f>B8</f>
        <v>175</v>
      </c>
      <c r="D66" s="3" t="s">
        <v>1</v>
      </c>
      <c r="E66" s="11">
        <f>E62</f>
        <v>156</v>
      </c>
      <c r="F66" s="3" t="s">
        <v>2</v>
      </c>
    </row>
    <row r="67" spans="1:6" s="3" customFormat="1">
      <c r="A67" s="3" t="s">
        <v>118</v>
      </c>
      <c r="C67" s="10"/>
      <c r="E67" s="10"/>
    </row>
    <row r="68" spans="1:6" s="3" customFormat="1">
      <c r="A68" s="3" t="s">
        <v>134</v>
      </c>
      <c r="B68" s="3" t="s">
        <v>152</v>
      </c>
      <c r="C68" s="9">
        <f>C60+1</f>
        <v>5</v>
      </c>
      <c r="E68" s="10"/>
    </row>
    <row r="69" spans="1:6" s="3" customFormat="1">
      <c r="A69" s="3" t="s">
        <v>16</v>
      </c>
      <c r="B69" s="3" t="s">
        <v>17</v>
      </c>
      <c r="C69" s="10" t="s">
        <v>2</v>
      </c>
      <c r="E69" s="10"/>
    </row>
    <row r="70" spans="1:6" s="3" customFormat="1">
      <c r="A70" s="3" t="s">
        <v>0</v>
      </c>
      <c r="B70" s="3" t="s">
        <v>13</v>
      </c>
      <c r="C70" s="11">
        <f>-$D$10</f>
        <v>-175.26</v>
      </c>
      <c r="D70" s="3" t="s">
        <v>1</v>
      </c>
      <c r="E70" s="11">
        <f>$D$9 - 36</f>
        <v>225</v>
      </c>
      <c r="F70" s="3" t="s">
        <v>2</v>
      </c>
    </row>
    <row r="71" spans="1:6" s="3" customFormat="1">
      <c r="A71" s="3" t="s">
        <v>0</v>
      </c>
      <c r="B71" s="3" t="s">
        <v>13</v>
      </c>
      <c r="C71" s="11">
        <f>$D$10</f>
        <v>175.26</v>
      </c>
      <c r="D71" s="3" t="s">
        <v>1</v>
      </c>
      <c r="E71" s="11">
        <f>E70</f>
        <v>225</v>
      </c>
      <c r="F71" s="3" t="s">
        <v>2</v>
      </c>
    </row>
    <row r="72" spans="1:6" s="3" customFormat="1">
      <c r="A72" s="3" t="s">
        <v>0</v>
      </c>
      <c r="B72" s="3" t="s">
        <v>13</v>
      </c>
      <c r="C72" s="11">
        <f>C71</f>
        <v>175.26</v>
      </c>
      <c r="D72" s="3" t="s">
        <v>1</v>
      </c>
      <c r="E72" s="11">
        <f>D9</f>
        <v>261</v>
      </c>
      <c r="F72" s="3" t="s">
        <v>2</v>
      </c>
    </row>
    <row r="73" spans="1:6" s="3" customFormat="1">
      <c r="A73" s="3" t="s">
        <v>0</v>
      </c>
      <c r="B73" s="3" t="s">
        <v>13</v>
      </c>
      <c r="C73" s="11">
        <f>C70</f>
        <v>-175.26</v>
      </c>
      <c r="D73" s="3" t="s">
        <v>1</v>
      </c>
      <c r="E73" s="11">
        <f>E72</f>
        <v>261</v>
      </c>
      <c r="F73" s="3" t="s">
        <v>2</v>
      </c>
    </row>
    <row r="74" spans="1:6" s="3" customFormat="1">
      <c r="A74" s="3" t="s">
        <v>0</v>
      </c>
      <c r="B74" s="3" t="s">
        <v>13</v>
      </c>
      <c r="C74" s="11">
        <f>C70</f>
        <v>-175.26</v>
      </c>
      <c r="D74" s="3" t="s">
        <v>1</v>
      </c>
      <c r="E74" s="11">
        <f>E70</f>
        <v>225</v>
      </c>
      <c r="F74" s="3" t="s">
        <v>2</v>
      </c>
    </row>
    <row r="75" spans="1:6" s="3" customFormat="1">
      <c r="A75" s="3" t="s">
        <v>118</v>
      </c>
      <c r="C75" s="10"/>
      <c r="E75" s="10"/>
    </row>
    <row r="76" spans="1:6" s="3" customFormat="1">
      <c r="A76" s="3" t="s">
        <v>136</v>
      </c>
      <c r="B76" s="3" t="s">
        <v>152</v>
      </c>
      <c r="C76" s="9">
        <f>C68+1</f>
        <v>6</v>
      </c>
      <c r="E76" s="10"/>
    </row>
    <row r="77" spans="1:6" s="3" customFormat="1">
      <c r="A77" s="3" t="s">
        <v>16</v>
      </c>
      <c r="B77" s="3" t="s">
        <v>17</v>
      </c>
      <c r="C77" s="10" t="s">
        <v>2</v>
      </c>
      <c r="E77" s="10"/>
    </row>
    <row r="78" spans="1:6" s="3" customFormat="1">
      <c r="A78" s="3" t="s">
        <v>0</v>
      </c>
      <c r="B78" s="3" t="s">
        <v>13</v>
      </c>
      <c r="C78" s="11">
        <f>-$D$10</f>
        <v>-175.26</v>
      </c>
      <c r="D78" s="3" t="s">
        <v>1</v>
      </c>
      <c r="E78" s="11">
        <f>$D$9-45</f>
        <v>216</v>
      </c>
      <c r="F78" s="3" t="s">
        <v>2</v>
      </c>
    </row>
    <row r="79" spans="1:6" s="3" customFormat="1">
      <c r="A79" s="3" t="s">
        <v>0</v>
      </c>
      <c r="B79" s="3" t="s">
        <v>13</v>
      </c>
      <c r="C79" s="11">
        <f>$D$10</f>
        <v>175.26</v>
      </c>
      <c r="D79" s="3" t="s">
        <v>1</v>
      </c>
      <c r="E79" s="11">
        <f>E78</f>
        <v>216</v>
      </c>
      <c r="F79" s="3" t="s">
        <v>2</v>
      </c>
    </row>
    <row r="80" spans="1:6" s="3" customFormat="1">
      <c r="A80" s="3" t="s">
        <v>0</v>
      </c>
      <c r="B80" s="3" t="s">
        <v>13</v>
      </c>
      <c r="C80" s="11">
        <f>C79</f>
        <v>175.26</v>
      </c>
      <c r="D80" s="3" t="s">
        <v>1</v>
      </c>
      <c r="E80" s="11">
        <f>$D$9-81</f>
        <v>180</v>
      </c>
      <c r="F80" s="3" t="s">
        <v>2</v>
      </c>
    </row>
    <row r="81" spans="1:6" s="3" customFormat="1">
      <c r="A81" s="3" t="s">
        <v>0</v>
      </c>
      <c r="B81" s="3" t="s">
        <v>13</v>
      </c>
      <c r="C81" s="11">
        <f>C78</f>
        <v>-175.26</v>
      </c>
      <c r="D81" s="3" t="s">
        <v>1</v>
      </c>
      <c r="E81" s="11">
        <f>E80</f>
        <v>180</v>
      </c>
      <c r="F81" s="3" t="s">
        <v>2</v>
      </c>
    </row>
    <row r="82" spans="1:6" s="3" customFormat="1">
      <c r="A82" s="3" t="s">
        <v>0</v>
      </c>
      <c r="B82" s="3" t="s">
        <v>13</v>
      </c>
      <c r="C82" s="11">
        <f>C78</f>
        <v>-175.26</v>
      </c>
      <c r="D82" s="3" t="s">
        <v>1</v>
      </c>
      <c r="E82" s="11">
        <f>E78</f>
        <v>216</v>
      </c>
      <c r="F82" s="3" t="s">
        <v>2</v>
      </c>
    </row>
    <row r="83" spans="1:6" s="3" customFormat="1">
      <c r="A83" s="3" t="s">
        <v>118</v>
      </c>
      <c r="C83" s="10"/>
      <c r="E83" s="10"/>
    </row>
    <row r="84" spans="1:6" s="3" customFormat="1">
      <c r="A84" s="3" t="s">
        <v>118</v>
      </c>
      <c r="C84" s="10"/>
      <c r="E84" s="10"/>
    </row>
    <row r="85" spans="1:6" s="3" customFormat="1">
      <c r="A85" s="3" t="s">
        <v>139</v>
      </c>
      <c r="B85" s="3" t="s">
        <v>152</v>
      </c>
      <c r="C85" s="9">
        <f>C76+1</f>
        <v>7</v>
      </c>
      <c r="E85" s="10"/>
    </row>
    <row r="86" spans="1:6" s="3" customFormat="1">
      <c r="A86" s="3" t="s">
        <v>16</v>
      </c>
      <c r="B86" s="3" t="s">
        <v>17</v>
      </c>
      <c r="C86" s="10" t="s">
        <v>2</v>
      </c>
      <c r="E86" s="10"/>
    </row>
    <row r="87" spans="1:6" s="3" customFormat="1">
      <c r="A87" s="3" t="s">
        <v>0</v>
      </c>
      <c r="B87" s="3" t="s">
        <v>13</v>
      </c>
      <c r="C87" s="11">
        <f>-$D$10</f>
        <v>-175.26</v>
      </c>
      <c r="D87" s="3" t="s">
        <v>1</v>
      </c>
      <c r="E87" s="11">
        <f>D9</f>
        <v>261</v>
      </c>
      <c r="F87" s="3" t="s">
        <v>2</v>
      </c>
    </row>
    <row r="88" spans="1:6" s="3" customFormat="1">
      <c r="A88" s="3" t="s">
        <v>0</v>
      </c>
      <c r="B88" s="3" t="s">
        <v>13</v>
      </c>
      <c r="C88" s="11">
        <f>-F9</f>
        <v>-266.7</v>
      </c>
      <c r="D88" s="3" t="s">
        <v>1</v>
      </c>
      <c r="E88" s="11">
        <f>$D$9</f>
        <v>261</v>
      </c>
      <c r="F88" s="3" t="s">
        <v>2</v>
      </c>
    </row>
    <row r="89" spans="1:6" s="3" customFormat="1">
      <c r="A89" s="3" t="s">
        <v>0</v>
      </c>
      <c r="B89" s="3" t="s">
        <v>13</v>
      </c>
      <c r="C89" s="11">
        <f>C88</f>
        <v>-266.7</v>
      </c>
      <c r="D89" s="3" t="s">
        <v>1</v>
      </c>
      <c r="E89" s="11">
        <f>D11</f>
        <v>95</v>
      </c>
      <c r="F89" s="3" t="s">
        <v>2</v>
      </c>
    </row>
    <row r="90" spans="1:6" s="3" customFormat="1">
      <c r="A90" s="3" t="s">
        <v>0</v>
      </c>
      <c r="B90" s="3" t="s">
        <v>13</v>
      </c>
      <c r="C90" s="11">
        <f>C87</f>
        <v>-175.26</v>
      </c>
      <c r="D90" s="3" t="s">
        <v>1</v>
      </c>
      <c r="E90" s="11">
        <f>E89</f>
        <v>95</v>
      </c>
      <c r="F90" s="3" t="s">
        <v>2</v>
      </c>
    </row>
    <row r="91" spans="1:6" s="3" customFormat="1">
      <c r="A91" s="3" t="s">
        <v>0</v>
      </c>
      <c r="B91" s="3" t="s">
        <v>13</v>
      </c>
      <c r="C91" s="11">
        <f>C87</f>
        <v>-175.26</v>
      </c>
      <c r="D91" s="3" t="s">
        <v>1</v>
      </c>
      <c r="E91" s="11">
        <f>B10-(E80-B11)</f>
        <v>130</v>
      </c>
      <c r="F91" s="3" t="s">
        <v>2</v>
      </c>
    </row>
    <row r="92" spans="1:6" s="3" customFormat="1">
      <c r="A92" s="3" t="s">
        <v>0</v>
      </c>
      <c r="B92" s="3" t="s">
        <v>13</v>
      </c>
      <c r="C92" s="11">
        <f>-C122</f>
        <v>-181.92666666666665</v>
      </c>
      <c r="D92" s="3" t="s">
        <v>1</v>
      </c>
      <c r="E92" s="11">
        <f>E91+(B10-E91)/2</f>
        <v>142</v>
      </c>
      <c r="F92" s="3" t="s">
        <v>2</v>
      </c>
    </row>
    <row r="93" spans="1:6" s="3" customFormat="1">
      <c r="A93" s="3" t="s">
        <v>0</v>
      </c>
      <c r="B93" s="3" t="s">
        <v>13</v>
      </c>
      <c r="C93" s="11">
        <f>C92</f>
        <v>-181.92666666666665</v>
      </c>
      <c r="D93" s="3" t="s">
        <v>1</v>
      </c>
      <c r="E93" s="11">
        <f>B11+E92-E91</f>
        <v>168</v>
      </c>
      <c r="F93" s="3" t="s">
        <v>2</v>
      </c>
    </row>
    <row r="94" spans="1:6" s="3" customFormat="1">
      <c r="A94" s="3" t="s">
        <v>0</v>
      </c>
      <c r="B94" s="3" t="s">
        <v>13</v>
      </c>
      <c r="C94" s="11">
        <f>C87</f>
        <v>-175.26</v>
      </c>
      <c r="D94" s="3" t="s">
        <v>1</v>
      </c>
      <c r="E94" s="11">
        <f>B11+(B10-E91)</f>
        <v>180</v>
      </c>
      <c r="F94" s="3" t="s">
        <v>2</v>
      </c>
    </row>
    <row r="95" spans="1:6" s="3" customFormat="1">
      <c r="A95" s="3" t="s">
        <v>0</v>
      </c>
      <c r="B95" s="3" t="s">
        <v>13</v>
      </c>
      <c r="C95" s="11">
        <f>C87</f>
        <v>-175.26</v>
      </c>
      <c r="D95" s="3" t="s">
        <v>1</v>
      </c>
      <c r="E95" s="11">
        <f>E87</f>
        <v>261</v>
      </c>
      <c r="F95" s="3" t="s">
        <v>2</v>
      </c>
    </row>
    <row r="96" spans="1:6" s="3" customFormat="1">
      <c r="A96" s="3" t="s">
        <v>118</v>
      </c>
      <c r="C96" s="10"/>
      <c r="E96" s="10"/>
    </row>
    <row r="97" spans="1:8" s="3" customFormat="1">
      <c r="A97" s="3" t="s">
        <v>140</v>
      </c>
      <c r="B97" s="3" t="s">
        <v>152</v>
      </c>
      <c r="C97" s="9">
        <f>C85+1</f>
        <v>8</v>
      </c>
      <c r="E97" s="10"/>
    </row>
    <row r="98" spans="1:8" s="3" customFormat="1">
      <c r="A98" s="3" t="s">
        <v>16</v>
      </c>
      <c r="B98" s="3" t="s">
        <v>17</v>
      </c>
      <c r="C98" s="10" t="s">
        <v>2</v>
      </c>
      <c r="E98" s="10"/>
    </row>
    <row r="99" spans="1:8" s="3" customFormat="1">
      <c r="A99" s="3" t="s">
        <v>0</v>
      </c>
      <c r="B99" s="3" t="s">
        <v>13</v>
      </c>
      <c r="C99" s="11">
        <f>-$D$10</f>
        <v>-175.26</v>
      </c>
      <c r="D99" s="3" t="s">
        <v>1</v>
      </c>
      <c r="E99" s="11">
        <f>$F$10</f>
        <v>26.009600000000002</v>
      </c>
      <c r="F99" s="3" t="s">
        <v>2</v>
      </c>
    </row>
    <row r="100" spans="1:8" s="3" customFormat="1">
      <c r="A100" s="3" t="s">
        <v>0</v>
      </c>
      <c r="B100" s="3" t="s">
        <v>13</v>
      </c>
      <c r="C100" s="10">
        <f>-96.4*2.54</f>
        <v>-244.85600000000002</v>
      </c>
      <c r="D100" s="3" t="s">
        <v>1</v>
      </c>
      <c r="E100" s="11">
        <f>$F$10</f>
        <v>26.009600000000002</v>
      </c>
      <c r="F100" s="3" t="s">
        <v>2</v>
      </c>
    </row>
    <row r="101" spans="1:8" s="3" customFormat="1">
      <c r="A101" s="3" t="s">
        <v>0</v>
      </c>
      <c r="B101" s="3" t="s">
        <v>13</v>
      </c>
      <c r="C101" s="11">
        <f>C100</f>
        <v>-244.85600000000002</v>
      </c>
      <c r="D101" s="3" t="s">
        <v>1</v>
      </c>
      <c r="E101" s="10">
        <f>22*2.54</f>
        <v>55.88</v>
      </c>
      <c r="F101" s="3" t="s">
        <v>2</v>
      </c>
    </row>
    <row r="102" spans="1:8" s="3" customFormat="1">
      <c r="A102" s="3" t="s">
        <v>0</v>
      </c>
      <c r="B102" s="3" t="s">
        <v>13</v>
      </c>
      <c r="C102" s="11">
        <f>-$F$9</f>
        <v>-266.7</v>
      </c>
      <c r="D102" s="3" t="s">
        <v>1</v>
      </c>
      <c r="E102" s="10">
        <f>28*2.54</f>
        <v>71.12</v>
      </c>
      <c r="F102" s="3" t="s">
        <v>2</v>
      </c>
    </row>
    <row r="103" spans="1:8" s="3" customFormat="1">
      <c r="A103" s="3" t="s">
        <v>0</v>
      </c>
      <c r="B103" s="3" t="s">
        <v>13</v>
      </c>
      <c r="C103" s="11">
        <f>C102</f>
        <v>-266.7</v>
      </c>
      <c r="D103" s="3" t="s">
        <v>1</v>
      </c>
      <c r="E103" s="11">
        <f>$D$11</f>
        <v>95</v>
      </c>
      <c r="F103" s="3" t="s">
        <v>2</v>
      </c>
    </row>
    <row r="104" spans="1:8" s="3" customFormat="1">
      <c r="A104" s="3" t="s">
        <v>0</v>
      </c>
      <c r="B104" s="3" t="s">
        <v>13</v>
      </c>
      <c r="C104" s="11">
        <f>C99</f>
        <v>-175.26</v>
      </c>
      <c r="D104" s="3" t="s">
        <v>1</v>
      </c>
      <c r="E104" s="11">
        <f>$D$11</f>
        <v>95</v>
      </c>
      <c r="F104" s="3" t="s">
        <v>2</v>
      </c>
    </row>
    <row r="105" spans="1:8" s="3" customFormat="1">
      <c r="A105" s="3" t="s">
        <v>0</v>
      </c>
      <c r="B105" s="3" t="s">
        <v>13</v>
      </c>
      <c r="C105" s="11">
        <f>C99</f>
        <v>-175.26</v>
      </c>
      <c r="D105" s="3" t="s">
        <v>1</v>
      </c>
      <c r="E105" s="11">
        <f>E99</f>
        <v>26.009600000000002</v>
      </c>
      <c r="F105" s="3" t="s">
        <v>2</v>
      </c>
    </row>
    <row r="106" spans="1:8" s="3" customFormat="1">
      <c r="A106" s="3" t="s">
        <v>118</v>
      </c>
      <c r="C106" s="10"/>
      <c r="E106" s="10"/>
    </row>
    <row r="107" spans="1:8" s="3" customFormat="1">
      <c r="A107" s="3" t="s">
        <v>165</v>
      </c>
      <c r="B107" s="3" t="s">
        <v>152</v>
      </c>
      <c r="C107" s="9">
        <f>C97+1</f>
        <v>9</v>
      </c>
      <c r="E107" s="10"/>
    </row>
    <row r="108" spans="1:8" s="3" customFormat="1">
      <c r="A108" s="3" t="s">
        <v>16</v>
      </c>
      <c r="B108" s="3" t="s">
        <v>17</v>
      </c>
      <c r="C108" s="10" t="s">
        <v>2</v>
      </c>
      <c r="E108" s="10"/>
    </row>
    <row r="109" spans="1:8" s="3" customFormat="1">
      <c r="A109" s="3" t="s">
        <v>0</v>
      </c>
      <c r="B109" s="3" t="s">
        <v>13</v>
      </c>
      <c r="C109" s="11">
        <f>$D$10 - H109</f>
        <v>145.26</v>
      </c>
      <c r="D109" s="3" t="s">
        <v>1</v>
      </c>
      <c r="E109" s="11">
        <f>F10</f>
        <v>26.009600000000002</v>
      </c>
      <c r="F109" s="3" t="s">
        <v>2</v>
      </c>
      <c r="G109" s="3" t="s">
        <v>166</v>
      </c>
      <c r="H109" s="6">
        <v>30</v>
      </c>
    </row>
    <row r="110" spans="1:8" s="3" customFormat="1">
      <c r="A110" s="3" t="s">
        <v>0</v>
      </c>
      <c r="B110" s="3" t="s">
        <v>13</v>
      </c>
      <c r="C110" s="11">
        <f>C109+H110+H111+H109</f>
        <v>395.26</v>
      </c>
      <c r="D110" s="3" t="s">
        <v>1</v>
      </c>
      <c r="E110" s="11">
        <f>E109</f>
        <v>26.009600000000002</v>
      </c>
      <c r="F110" s="3" t="s">
        <v>2</v>
      </c>
      <c r="G110" s="3" t="s">
        <v>153</v>
      </c>
      <c r="H110" s="6">
        <v>150</v>
      </c>
    </row>
    <row r="111" spans="1:8" s="3" customFormat="1">
      <c r="A111" s="3" t="s">
        <v>0</v>
      </c>
      <c r="B111" s="3" t="s">
        <v>13</v>
      </c>
      <c r="C111" s="11">
        <f>C110</f>
        <v>395.26</v>
      </c>
      <c r="D111" s="3" t="s">
        <v>1</v>
      </c>
      <c r="E111" s="11">
        <f>TAN($I$7*3.1415/180)*$C$112</f>
        <v>99.438849193679502</v>
      </c>
      <c r="F111" s="3" t="s">
        <v>2</v>
      </c>
      <c r="G111" s="3" t="s">
        <v>154</v>
      </c>
      <c r="H111" s="6">
        <v>70</v>
      </c>
    </row>
    <row r="112" spans="1:8" s="3" customFormat="1">
      <c r="A112" s="3" t="s">
        <v>0</v>
      </c>
      <c r="B112" s="3" t="s">
        <v>13</v>
      </c>
      <c r="C112" s="11">
        <f>C111-H111</f>
        <v>325.26</v>
      </c>
      <c r="D112" s="3" t="s">
        <v>1</v>
      </c>
      <c r="E112" s="11">
        <f>E111</f>
        <v>99.438849193679502</v>
      </c>
      <c r="F112" s="3" t="s">
        <v>2</v>
      </c>
    </row>
    <row r="113" spans="1:8" s="3" customFormat="1">
      <c r="A113" s="3" t="s">
        <v>0</v>
      </c>
      <c r="B113" s="3" t="s">
        <v>13</v>
      </c>
      <c r="C113" s="11">
        <f>C109</f>
        <v>145.26</v>
      </c>
      <c r="D113" s="3" t="s">
        <v>1</v>
      </c>
      <c r="E113" s="11">
        <f>TAN($I$7*3.1415/180)*C113</f>
        <v>44.409048865135226</v>
      </c>
      <c r="F113" s="3" t="s">
        <v>2</v>
      </c>
    </row>
    <row r="114" spans="1:8" s="3" customFormat="1">
      <c r="A114" s="3" t="s">
        <v>0</v>
      </c>
      <c r="B114" s="3" t="s">
        <v>13</v>
      </c>
      <c r="C114" s="11">
        <f>C109</f>
        <v>145.26</v>
      </c>
      <c r="D114" s="3" t="s">
        <v>1</v>
      </c>
      <c r="E114" s="11">
        <f>E109</f>
        <v>26.009600000000002</v>
      </c>
      <c r="F114" s="3" t="s">
        <v>2</v>
      </c>
    </row>
    <row r="115" spans="1:8" s="3" customFormat="1">
      <c r="A115" s="3" t="s">
        <v>118</v>
      </c>
      <c r="C115" s="10"/>
      <c r="E115" s="10"/>
    </row>
    <row r="116" spans="1:8" s="3" customFormat="1">
      <c r="A116" s="3" t="s">
        <v>155</v>
      </c>
      <c r="B116" s="3" t="s">
        <v>152</v>
      </c>
      <c r="C116" s="9">
        <f>C107+1</f>
        <v>10</v>
      </c>
      <c r="E116" s="10"/>
    </row>
    <row r="117" spans="1:8" s="3" customFormat="1">
      <c r="A117" s="3" t="s">
        <v>16</v>
      </c>
      <c r="B117" s="3" t="s">
        <v>17</v>
      </c>
      <c r="C117" s="10" t="s">
        <v>2</v>
      </c>
      <c r="E117" s="10"/>
    </row>
    <row r="118" spans="1:8" s="3" customFormat="1">
      <c r="A118" s="3" t="s">
        <v>0</v>
      </c>
      <c r="B118" s="3" t="s">
        <v>13</v>
      </c>
      <c r="C118" s="11">
        <f>D10</f>
        <v>175.26</v>
      </c>
      <c r="D118" s="3" t="s">
        <v>1</v>
      </c>
      <c r="E118" s="11">
        <f>D9</f>
        <v>261</v>
      </c>
      <c r="F118" s="3" t="s">
        <v>2</v>
      </c>
      <c r="G118" s="3" t="s">
        <v>159</v>
      </c>
      <c r="H118" s="6">
        <v>20</v>
      </c>
    </row>
    <row r="119" spans="1:8" s="3" customFormat="1">
      <c r="A119" s="3" t="s">
        <v>0</v>
      </c>
      <c r="B119" s="3" t="s">
        <v>13</v>
      </c>
      <c r="C119" s="11">
        <f>C118+H118</f>
        <v>195.26</v>
      </c>
      <c r="D119" s="3" t="s">
        <v>1</v>
      </c>
      <c r="E119" s="11">
        <f>E118+H119</f>
        <v>276</v>
      </c>
      <c r="F119" s="3" t="s">
        <v>2</v>
      </c>
      <c r="G119" s="3" t="s">
        <v>163</v>
      </c>
      <c r="H119" s="6">
        <v>15</v>
      </c>
    </row>
    <row r="120" spans="1:8" s="3" customFormat="1">
      <c r="A120" s="3" t="s">
        <v>0</v>
      </c>
      <c r="B120" s="3" t="s">
        <v>13</v>
      </c>
      <c r="C120" s="11">
        <f>C119</f>
        <v>195.26</v>
      </c>
      <c r="D120" s="3" t="s">
        <v>1</v>
      </c>
      <c r="E120" s="11">
        <f>B10+H118/2-H122</f>
        <v>159</v>
      </c>
      <c r="F120" s="3" t="s">
        <v>2</v>
      </c>
      <c r="G120" s="3" t="s">
        <v>118</v>
      </c>
      <c r="H120" s="3">
        <f>ATAN2(C120,E120)*180/3.1415</f>
        <v>39.157042667967332</v>
      </c>
    </row>
    <row r="121" spans="1:8" s="3" customFormat="1">
      <c r="A121" t="s">
        <v>0</v>
      </c>
      <c r="B121" s="3" t="s">
        <v>13</v>
      </c>
      <c r="C121" s="11">
        <f>C120-H118/3</f>
        <v>188.59333333333333</v>
      </c>
      <c r="D121" s="3" t="s">
        <v>1</v>
      </c>
      <c r="E121" s="11">
        <f>B10-H122</f>
        <v>149</v>
      </c>
      <c r="F121" s="3" t="s">
        <v>2</v>
      </c>
      <c r="G121" s="3" t="s">
        <v>118</v>
      </c>
      <c r="H121" s="3">
        <f>ATAN2(C121,E121)*180/3.1415</f>
        <v>38.311972979403386</v>
      </c>
    </row>
    <row r="122" spans="1:8" s="3" customFormat="1">
      <c r="A122" t="s">
        <v>0</v>
      </c>
      <c r="B122" s="3" t="s">
        <v>13</v>
      </c>
      <c r="C122" s="11">
        <f>C118+$H$118/3</f>
        <v>181.92666666666665</v>
      </c>
      <c r="D122" s="3" t="s">
        <v>1</v>
      </c>
      <c r="E122" s="11">
        <f>E121</f>
        <v>149</v>
      </c>
      <c r="F122" s="3" t="s">
        <v>2</v>
      </c>
      <c r="G122" s="3" t="s">
        <v>167</v>
      </c>
      <c r="H122" s="3">
        <v>5</v>
      </c>
    </row>
    <row r="123" spans="1:8" s="3" customFormat="1">
      <c r="A123" t="s">
        <v>0</v>
      </c>
      <c r="B123" s="3" t="s">
        <v>13</v>
      </c>
      <c r="C123" s="11">
        <f>C122</f>
        <v>181.92666666666665</v>
      </c>
      <c r="D123" s="3" t="s">
        <v>1</v>
      </c>
      <c r="E123" s="11">
        <f>(E122+E80)/2</f>
        <v>164.5</v>
      </c>
      <c r="F123" s="3" t="s">
        <v>2</v>
      </c>
    </row>
    <row r="124" spans="1:8" s="3" customFormat="1">
      <c r="A124" t="s">
        <v>0</v>
      </c>
      <c r="B124" s="3" t="s">
        <v>13</v>
      </c>
      <c r="C124" s="11">
        <f>C118</f>
        <v>175.26</v>
      </c>
      <c r="D124" s="3" t="s">
        <v>1</v>
      </c>
      <c r="E124" s="11">
        <f>E80</f>
        <v>180</v>
      </c>
      <c r="F124" s="3" t="s">
        <v>2</v>
      </c>
    </row>
    <row r="125" spans="1:8" s="3" customFormat="1">
      <c r="A125" s="3" t="s">
        <v>0</v>
      </c>
      <c r="B125" s="3" t="s">
        <v>13</v>
      </c>
      <c r="C125" s="11">
        <f>C118</f>
        <v>175.26</v>
      </c>
      <c r="D125" s="3" t="s">
        <v>1</v>
      </c>
      <c r="E125" s="11">
        <f>E118</f>
        <v>261</v>
      </c>
      <c r="F125" s="3" t="s">
        <v>2</v>
      </c>
    </row>
    <row r="126" spans="1:8" s="3" customFormat="1">
      <c r="A126" s="3" t="s">
        <v>118</v>
      </c>
      <c r="C126" s="10"/>
      <c r="E126" s="10"/>
    </row>
    <row r="127" spans="1:8" s="3" customFormat="1">
      <c r="A127" s="3" t="s">
        <v>156</v>
      </c>
      <c r="B127" s="3" t="s">
        <v>152</v>
      </c>
      <c r="C127" s="9">
        <f>C116+1</f>
        <v>11</v>
      </c>
      <c r="E127" s="10"/>
    </row>
    <row r="128" spans="1:8" s="3" customFormat="1">
      <c r="A128" s="3" t="s">
        <v>16</v>
      </c>
      <c r="B128" s="3" t="s">
        <v>17</v>
      </c>
      <c r="C128" s="10" t="s">
        <v>2</v>
      </c>
      <c r="E128" s="10"/>
    </row>
    <row r="129" spans="1:8" s="3" customFormat="1">
      <c r="A129" s="3" t="s">
        <v>0</v>
      </c>
      <c r="B129" s="3" t="s">
        <v>13</v>
      </c>
      <c r="C129" s="11">
        <f>C119</f>
        <v>195.26</v>
      </c>
      <c r="D129" s="3" t="s">
        <v>1</v>
      </c>
      <c r="E129" s="11">
        <f>E119</f>
        <v>276</v>
      </c>
      <c r="F129" s="3" t="s">
        <v>2</v>
      </c>
    </row>
    <row r="130" spans="1:8" s="3" customFormat="1">
      <c r="A130" s="3" t="s">
        <v>0</v>
      </c>
      <c r="B130" s="3" t="s">
        <v>13</v>
      </c>
      <c r="C130" s="11">
        <f>C110</f>
        <v>395.26</v>
      </c>
      <c r="D130" s="3" t="s">
        <v>1</v>
      </c>
      <c r="E130" s="11">
        <f>E129</f>
        <v>276</v>
      </c>
      <c r="F130" s="3" t="s">
        <v>2</v>
      </c>
      <c r="G130" s="3" t="s">
        <v>157</v>
      </c>
      <c r="H130" s="6">
        <v>40</v>
      </c>
    </row>
    <row r="131" spans="1:8" s="3" customFormat="1">
      <c r="A131" s="3" t="s">
        <v>0</v>
      </c>
      <c r="B131" s="3" t="s">
        <v>13</v>
      </c>
      <c r="C131" s="11">
        <f>C130</f>
        <v>395.26</v>
      </c>
      <c r="D131" s="3" t="s">
        <v>1</v>
      </c>
      <c r="E131" s="11">
        <f>E130-H130</f>
        <v>236</v>
      </c>
      <c r="F131" s="3" t="s">
        <v>2</v>
      </c>
    </row>
    <row r="132" spans="1:8" s="3" customFormat="1">
      <c r="A132" s="3" t="s">
        <v>0</v>
      </c>
      <c r="B132" s="3" t="s">
        <v>13</v>
      </c>
      <c r="C132" s="11">
        <f>C129</f>
        <v>195.26</v>
      </c>
      <c r="D132" s="3" t="s">
        <v>1</v>
      </c>
      <c r="E132" s="11">
        <f>E131</f>
        <v>236</v>
      </c>
      <c r="F132" s="3" t="s">
        <v>2</v>
      </c>
    </row>
    <row r="133" spans="1:8" s="3" customFormat="1">
      <c r="A133" s="3" t="s">
        <v>0</v>
      </c>
      <c r="B133" s="3" t="s">
        <v>13</v>
      </c>
      <c r="C133" s="11">
        <f>C129</f>
        <v>195.26</v>
      </c>
      <c r="D133" s="3" t="s">
        <v>1</v>
      </c>
      <c r="E133" s="11">
        <f>E129</f>
        <v>276</v>
      </c>
      <c r="F133" s="3" t="s">
        <v>2</v>
      </c>
    </row>
    <row r="134" spans="1:8" s="3" customFormat="1">
      <c r="A134" s="3" t="s">
        <v>118</v>
      </c>
      <c r="C134" s="10"/>
      <c r="E134" s="10"/>
    </row>
    <row r="135" spans="1:8" s="3" customFormat="1">
      <c r="A135" s="3" t="s">
        <v>160</v>
      </c>
      <c r="B135" s="3" t="s">
        <v>152</v>
      </c>
      <c r="C135" s="9">
        <f>C127+1</f>
        <v>12</v>
      </c>
      <c r="E135" s="10"/>
      <c r="G135" s="3" t="s">
        <v>161</v>
      </c>
      <c r="H135" s="6">
        <v>5</v>
      </c>
    </row>
    <row r="136" spans="1:8" s="3" customFormat="1">
      <c r="A136" s="3" t="s">
        <v>16</v>
      </c>
      <c r="B136" s="3" t="s">
        <v>17</v>
      </c>
      <c r="C136" s="10" t="s">
        <v>2</v>
      </c>
      <c r="E136" s="10"/>
      <c r="G136" s="3" t="s">
        <v>162</v>
      </c>
      <c r="H136" s="3">
        <f>$H$111/(2*H135-1)</f>
        <v>7.7777777777777777</v>
      </c>
    </row>
    <row r="137" spans="1:8" s="3" customFormat="1">
      <c r="A137" s="3" t="s">
        <v>0</v>
      </c>
      <c r="B137" s="3" t="s">
        <v>13</v>
      </c>
      <c r="C137" s="11">
        <f>C112</f>
        <v>325.26</v>
      </c>
      <c r="D137" s="3" t="s">
        <v>1</v>
      </c>
      <c r="E137" s="11">
        <f>E$111</f>
        <v>99.438849193679502</v>
      </c>
      <c r="F137" s="3" t="s">
        <v>2</v>
      </c>
    </row>
    <row r="138" spans="1:8" s="3" customFormat="1">
      <c r="A138" s="3" t="s">
        <v>0</v>
      </c>
      <c r="B138" s="3" t="s">
        <v>13</v>
      </c>
      <c r="C138" s="11">
        <f>C137+$H$136</f>
        <v>333.03777777777776</v>
      </c>
      <c r="D138" s="3" t="s">
        <v>1</v>
      </c>
      <c r="E138" s="11">
        <f>E137</f>
        <v>99.438849193679502</v>
      </c>
      <c r="F138" s="3" t="s">
        <v>2</v>
      </c>
    </row>
    <row r="139" spans="1:8" s="3" customFormat="1">
      <c r="A139" s="3" t="s">
        <v>0</v>
      </c>
      <c r="B139" s="3" t="s">
        <v>13</v>
      </c>
      <c r="C139" s="11">
        <f>C138</f>
        <v>333.03777777777776</v>
      </c>
      <c r="D139" s="3" t="s">
        <v>1</v>
      </c>
      <c r="E139" s="11">
        <f>E$131</f>
        <v>236</v>
      </c>
      <c r="F139" s="3" t="s">
        <v>2</v>
      </c>
    </row>
    <row r="140" spans="1:8" s="3" customFormat="1">
      <c r="A140" s="3" t="s">
        <v>0</v>
      </c>
      <c r="B140" s="3" t="s">
        <v>13</v>
      </c>
      <c r="C140" s="11">
        <f>C137</f>
        <v>325.26</v>
      </c>
      <c r="D140" s="3" t="s">
        <v>1</v>
      </c>
      <c r="E140" s="11">
        <f>E139</f>
        <v>236</v>
      </c>
      <c r="F140" s="3" t="s">
        <v>2</v>
      </c>
    </row>
    <row r="141" spans="1:8" s="3" customFormat="1">
      <c r="A141" s="3" t="s">
        <v>0</v>
      </c>
      <c r="B141" s="3" t="s">
        <v>13</v>
      </c>
      <c r="C141" s="11">
        <f>C137</f>
        <v>325.26</v>
      </c>
      <c r="D141" s="3" t="s">
        <v>1</v>
      </c>
      <c r="E141" s="11">
        <f>E137</f>
        <v>99.438849193679502</v>
      </c>
      <c r="F141" s="3" t="s">
        <v>2</v>
      </c>
    </row>
    <row r="142" spans="1:8" s="3" customFormat="1">
      <c r="A142" s="3" t="s">
        <v>118</v>
      </c>
      <c r="C142" s="10"/>
      <c r="E142" s="10"/>
    </row>
    <row r="143" spans="1:8" s="3" customFormat="1">
      <c r="A143" s="3" t="s">
        <v>160</v>
      </c>
      <c r="B143" s="3" t="s">
        <v>152</v>
      </c>
      <c r="C143" s="9">
        <f>C135+1</f>
        <v>13</v>
      </c>
      <c r="E143" s="10"/>
    </row>
    <row r="144" spans="1:8" s="3" customFormat="1">
      <c r="A144" s="3" t="s">
        <v>16</v>
      </c>
      <c r="B144" s="3" t="s">
        <v>17</v>
      </c>
      <c r="C144" s="10" t="s">
        <v>2</v>
      </c>
      <c r="E144" s="10"/>
    </row>
    <row r="145" spans="1:6" s="3" customFormat="1">
      <c r="A145" s="3" t="s">
        <v>0</v>
      </c>
      <c r="B145" s="3" t="s">
        <v>13</v>
      </c>
      <c r="C145" s="11">
        <f>C137+2*$H$136</f>
        <v>340.81555555555553</v>
      </c>
      <c r="D145" s="3" t="s">
        <v>1</v>
      </c>
      <c r="E145" s="11">
        <f>E$111</f>
        <v>99.438849193679502</v>
      </c>
      <c r="F145" s="3" t="s">
        <v>2</v>
      </c>
    </row>
    <row r="146" spans="1:6" s="3" customFormat="1">
      <c r="A146" s="3" t="s">
        <v>0</v>
      </c>
      <c r="B146" s="3" t="s">
        <v>13</v>
      </c>
      <c r="C146" s="11">
        <f>C145+$H$136</f>
        <v>348.59333333333331</v>
      </c>
      <c r="D146" s="3" t="s">
        <v>1</v>
      </c>
      <c r="E146" s="11">
        <f>E145</f>
        <v>99.438849193679502</v>
      </c>
      <c r="F146" s="3" t="s">
        <v>2</v>
      </c>
    </row>
    <row r="147" spans="1:6" s="3" customFormat="1">
      <c r="A147" s="3" t="s">
        <v>0</v>
      </c>
      <c r="B147" s="3" t="s">
        <v>13</v>
      </c>
      <c r="C147" s="11">
        <f>C146</f>
        <v>348.59333333333331</v>
      </c>
      <c r="D147" s="3" t="s">
        <v>1</v>
      </c>
      <c r="E147" s="11">
        <f>E$131</f>
        <v>236</v>
      </c>
      <c r="F147" s="3" t="s">
        <v>2</v>
      </c>
    </row>
    <row r="148" spans="1:6" s="3" customFormat="1">
      <c r="A148" s="3" t="s">
        <v>0</v>
      </c>
      <c r="B148" s="3" t="s">
        <v>13</v>
      </c>
      <c r="C148" s="11">
        <f>C145</f>
        <v>340.81555555555553</v>
      </c>
      <c r="D148" s="3" t="s">
        <v>1</v>
      </c>
      <c r="E148" s="11">
        <f>E147</f>
        <v>236</v>
      </c>
      <c r="F148" s="3" t="s">
        <v>2</v>
      </c>
    </row>
    <row r="149" spans="1:6" s="3" customFormat="1">
      <c r="A149" s="3" t="s">
        <v>0</v>
      </c>
      <c r="B149" s="3" t="s">
        <v>13</v>
      </c>
      <c r="C149" s="11">
        <f>C145</f>
        <v>340.81555555555553</v>
      </c>
      <c r="D149" s="3" t="s">
        <v>1</v>
      </c>
      <c r="E149" s="11">
        <f>E145</f>
        <v>99.438849193679502</v>
      </c>
      <c r="F149" s="3" t="s">
        <v>2</v>
      </c>
    </row>
    <row r="150" spans="1:6" s="3" customFormat="1">
      <c r="A150" s="3" t="s">
        <v>118</v>
      </c>
      <c r="C150" s="10"/>
      <c r="E150" s="10"/>
    </row>
    <row r="151" spans="1:6" s="3" customFormat="1">
      <c r="A151" s="3" t="s">
        <v>160</v>
      </c>
      <c r="B151" s="3" t="s">
        <v>152</v>
      </c>
      <c r="C151" s="9">
        <f>C143+1</f>
        <v>14</v>
      </c>
      <c r="E151" s="10"/>
    </row>
    <row r="152" spans="1:6" s="3" customFormat="1">
      <c r="A152" s="3" t="s">
        <v>16</v>
      </c>
      <c r="B152" s="3" t="s">
        <v>17</v>
      </c>
      <c r="C152" s="10" t="s">
        <v>2</v>
      </c>
      <c r="E152" s="10"/>
    </row>
    <row r="153" spans="1:6" s="3" customFormat="1">
      <c r="A153" s="3" t="s">
        <v>0</v>
      </c>
      <c r="B153" s="3" t="s">
        <v>13</v>
      </c>
      <c r="C153" s="11">
        <f>C145+2*$H$136</f>
        <v>356.37111111111108</v>
      </c>
      <c r="D153" s="3" t="s">
        <v>1</v>
      </c>
      <c r="E153" s="11">
        <f>E$111</f>
        <v>99.438849193679502</v>
      </c>
      <c r="F153" s="3" t="s">
        <v>2</v>
      </c>
    </row>
    <row r="154" spans="1:6" s="3" customFormat="1">
      <c r="A154" s="3" t="s">
        <v>0</v>
      </c>
      <c r="B154" s="3" t="s">
        <v>13</v>
      </c>
      <c r="C154" s="11">
        <f>C153+$H$136</f>
        <v>364.14888888888885</v>
      </c>
      <c r="D154" s="3" t="s">
        <v>1</v>
      </c>
      <c r="E154" s="11">
        <f>E153</f>
        <v>99.438849193679502</v>
      </c>
      <c r="F154" s="3" t="s">
        <v>2</v>
      </c>
    </row>
    <row r="155" spans="1:6" s="3" customFormat="1">
      <c r="A155" s="3" t="s">
        <v>0</v>
      </c>
      <c r="B155" s="3" t="s">
        <v>13</v>
      </c>
      <c r="C155" s="11">
        <f>C154</f>
        <v>364.14888888888885</v>
      </c>
      <c r="D155" s="3" t="s">
        <v>1</v>
      </c>
      <c r="E155" s="11">
        <f>E$131</f>
        <v>236</v>
      </c>
      <c r="F155" s="3" t="s">
        <v>2</v>
      </c>
    </row>
    <row r="156" spans="1:6" s="3" customFormat="1">
      <c r="A156" s="3" t="s">
        <v>0</v>
      </c>
      <c r="B156" s="3" t="s">
        <v>13</v>
      </c>
      <c r="C156" s="11">
        <f>C153</f>
        <v>356.37111111111108</v>
      </c>
      <c r="D156" s="3" t="s">
        <v>1</v>
      </c>
      <c r="E156" s="11">
        <f>E155</f>
        <v>236</v>
      </c>
      <c r="F156" s="3" t="s">
        <v>2</v>
      </c>
    </row>
    <row r="157" spans="1:6" s="3" customFormat="1">
      <c r="A157" s="3" t="s">
        <v>0</v>
      </c>
      <c r="B157" s="3" t="s">
        <v>13</v>
      </c>
      <c r="C157" s="11">
        <f>C153</f>
        <v>356.37111111111108</v>
      </c>
      <c r="D157" s="3" t="s">
        <v>1</v>
      </c>
      <c r="E157" s="11">
        <f>E153</f>
        <v>99.438849193679502</v>
      </c>
      <c r="F157" s="3" t="s">
        <v>2</v>
      </c>
    </row>
    <row r="158" spans="1:6" s="3" customFormat="1">
      <c r="A158" s="3" t="s">
        <v>118</v>
      </c>
      <c r="C158" s="10"/>
      <c r="E158" s="10"/>
    </row>
    <row r="159" spans="1:6" s="3" customFormat="1">
      <c r="A159" s="3" t="s">
        <v>160</v>
      </c>
      <c r="B159" s="3" t="s">
        <v>152</v>
      </c>
      <c r="C159" s="9">
        <f>C151+1</f>
        <v>15</v>
      </c>
      <c r="E159" s="10"/>
    </row>
    <row r="160" spans="1:6" s="3" customFormat="1">
      <c r="A160" s="3" t="s">
        <v>16</v>
      </c>
      <c r="B160" s="3" t="s">
        <v>17</v>
      </c>
      <c r="C160" s="10" t="s">
        <v>2</v>
      </c>
      <c r="E160" s="10"/>
    </row>
    <row r="161" spans="1:6" s="3" customFormat="1">
      <c r="A161" s="3" t="s">
        <v>0</v>
      </c>
      <c r="B161" s="3" t="s">
        <v>13</v>
      </c>
      <c r="C161" s="11">
        <f>C153+2*$H$136</f>
        <v>371.92666666666662</v>
      </c>
      <c r="D161" s="3" t="s">
        <v>1</v>
      </c>
      <c r="E161" s="11">
        <f>E$111</f>
        <v>99.438849193679502</v>
      </c>
      <c r="F161" s="3" t="s">
        <v>2</v>
      </c>
    </row>
    <row r="162" spans="1:6" s="3" customFormat="1">
      <c r="A162" s="3" t="s">
        <v>0</v>
      </c>
      <c r="B162" s="3" t="s">
        <v>13</v>
      </c>
      <c r="C162" s="11">
        <f>C161+$H$136</f>
        <v>379.70444444444439</v>
      </c>
      <c r="D162" s="3" t="s">
        <v>1</v>
      </c>
      <c r="E162" s="11">
        <f>E161</f>
        <v>99.438849193679502</v>
      </c>
      <c r="F162" s="3" t="s">
        <v>2</v>
      </c>
    </row>
    <row r="163" spans="1:6" s="3" customFormat="1">
      <c r="A163" s="3" t="s">
        <v>0</v>
      </c>
      <c r="B163" s="3" t="s">
        <v>13</v>
      </c>
      <c r="C163" s="11">
        <f>C162</f>
        <v>379.70444444444439</v>
      </c>
      <c r="D163" s="3" t="s">
        <v>1</v>
      </c>
      <c r="E163" s="11">
        <f>E$131</f>
        <v>236</v>
      </c>
      <c r="F163" s="3" t="s">
        <v>2</v>
      </c>
    </row>
    <row r="164" spans="1:6" s="3" customFormat="1">
      <c r="A164" s="3" t="s">
        <v>0</v>
      </c>
      <c r="B164" s="3" t="s">
        <v>13</v>
      </c>
      <c r="C164" s="11">
        <f>C161</f>
        <v>371.92666666666662</v>
      </c>
      <c r="D164" s="3" t="s">
        <v>1</v>
      </c>
      <c r="E164" s="11">
        <f>E163</f>
        <v>236</v>
      </c>
      <c r="F164" s="3" t="s">
        <v>2</v>
      </c>
    </row>
    <row r="165" spans="1:6" s="3" customFormat="1">
      <c r="A165" s="3" t="s">
        <v>0</v>
      </c>
      <c r="B165" s="3" t="s">
        <v>13</v>
      </c>
      <c r="C165" s="11">
        <f>C161</f>
        <v>371.92666666666662</v>
      </c>
      <c r="D165" s="3" t="s">
        <v>1</v>
      </c>
      <c r="E165" s="11">
        <f>E161</f>
        <v>99.438849193679502</v>
      </c>
      <c r="F165" s="3" t="s">
        <v>2</v>
      </c>
    </row>
    <row r="166" spans="1:6" s="3" customFormat="1">
      <c r="A166" s="3" t="s">
        <v>118</v>
      </c>
      <c r="C166" s="10"/>
      <c r="E166" s="10"/>
    </row>
    <row r="167" spans="1:6" s="3" customFormat="1">
      <c r="A167" s="3" t="s">
        <v>160</v>
      </c>
      <c r="B167" s="3" t="s">
        <v>152</v>
      </c>
      <c r="C167" s="9">
        <f>C159+1</f>
        <v>16</v>
      </c>
      <c r="E167" s="10"/>
    </row>
    <row r="168" spans="1:6" s="3" customFormat="1">
      <c r="A168" s="3" t="s">
        <v>16</v>
      </c>
      <c r="B168" s="3" t="s">
        <v>17</v>
      </c>
      <c r="C168" s="10" t="s">
        <v>2</v>
      </c>
      <c r="E168" s="10"/>
    </row>
    <row r="169" spans="1:6" s="3" customFormat="1">
      <c r="A169" s="3" t="s">
        <v>0</v>
      </c>
      <c r="B169" s="3" t="s">
        <v>13</v>
      </c>
      <c r="C169" s="11">
        <f>C161+2*$H$136</f>
        <v>387.48222222222216</v>
      </c>
      <c r="D169" s="3" t="s">
        <v>1</v>
      </c>
      <c r="E169" s="11">
        <f>E$111</f>
        <v>99.438849193679502</v>
      </c>
      <c r="F169" s="3" t="s">
        <v>2</v>
      </c>
    </row>
    <row r="170" spans="1:6" s="3" customFormat="1">
      <c r="A170" s="3" t="s">
        <v>0</v>
      </c>
      <c r="B170" s="3" t="s">
        <v>13</v>
      </c>
      <c r="C170" s="11">
        <f>C169+$H$136</f>
        <v>395.25999999999993</v>
      </c>
      <c r="D170" s="3" t="s">
        <v>1</v>
      </c>
      <c r="E170" s="11">
        <f>E169</f>
        <v>99.438849193679502</v>
      </c>
      <c r="F170" s="3" t="s">
        <v>2</v>
      </c>
    </row>
    <row r="171" spans="1:6" s="3" customFormat="1">
      <c r="A171" s="3" t="s">
        <v>0</v>
      </c>
      <c r="B171" s="3" t="s">
        <v>13</v>
      </c>
      <c r="C171" s="11">
        <f>C170</f>
        <v>395.25999999999993</v>
      </c>
      <c r="D171" s="3" t="s">
        <v>1</v>
      </c>
      <c r="E171" s="11">
        <f>E$131</f>
        <v>236</v>
      </c>
      <c r="F171" s="3" t="s">
        <v>2</v>
      </c>
    </row>
    <row r="172" spans="1:6" s="3" customFormat="1">
      <c r="A172" s="3" t="s">
        <v>0</v>
      </c>
      <c r="B172" s="3" t="s">
        <v>13</v>
      </c>
      <c r="C172" s="11">
        <f>C169</f>
        <v>387.48222222222216</v>
      </c>
      <c r="D172" s="3" t="s">
        <v>1</v>
      </c>
      <c r="E172" s="11">
        <f>E171</f>
        <v>236</v>
      </c>
      <c r="F172" s="3" t="s">
        <v>2</v>
      </c>
    </row>
    <row r="173" spans="1:6" s="3" customFormat="1">
      <c r="A173" s="3" t="s">
        <v>0</v>
      </c>
      <c r="B173" s="3" t="s">
        <v>13</v>
      </c>
      <c r="C173" s="11">
        <f>C169</f>
        <v>387.48222222222216</v>
      </c>
      <c r="D173" s="3" t="s">
        <v>1</v>
      </c>
      <c r="E173" s="11">
        <f>E169</f>
        <v>99.438849193679502</v>
      </c>
      <c r="F173" s="3" t="s">
        <v>2</v>
      </c>
    </row>
    <row r="174" spans="1:6" s="3" customFormat="1">
      <c r="A174" s="3" t="s">
        <v>118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="150" zoomScaleNormal="150" zoomScalePageLayoutView="150" workbookViewId="0">
      <pane ySplit="11" topLeftCell="A69" activePane="bottomLeft" state="frozen"/>
      <selection pane="bottomLeft" activeCell="E79" sqref="E79"/>
    </sheetView>
  </sheetViews>
  <sheetFormatPr baseColWidth="10" defaultColWidth="8.83203125" defaultRowHeight="12" x14ac:dyDescent="0"/>
  <cols>
    <col min="1" max="1" width="14.1640625" style="2" customWidth="1"/>
    <col min="2" max="16384" width="8.83203125" style="2"/>
  </cols>
  <sheetData>
    <row r="1" spans="1:11" s="3" customFormat="1">
      <c r="A1" s="3" t="s">
        <v>118</v>
      </c>
      <c r="G1" s="3" t="s">
        <v>131</v>
      </c>
      <c r="J1" s="3">
        <v>0.51</v>
      </c>
      <c r="K1" s="3" t="s">
        <v>132</v>
      </c>
    </row>
    <row r="2" spans="1:11" s="3" customFormat="1">
      <c r="A2" s="3" t="s">
        <v>143</v>
      </c>
      <c r="B2" s="3">
        <v>1300</v>
      </c>
      <c r="D2" s="3" t="s">
        <v>34</v>
      </c>
      <c r="E2" s="3">
        <v>35</v>
      </c>
      <c r="G2" s="3" t="s">
        <v>130</v>
      </c>
      <c r="J2" s="3">
        <v>0.48899999999999999</v>
      </c>
      <c r="K2" s="3" t="s">
        <v>132</v>
      </c>
    </row>
    <row r="3" spans="1:11" s="3" customFormat="1">
      <c r="A3" s="3" t="s">
        <v>118</v>
      </c>
      <c r="D3" s="3" t="s">
        <v>35</v>
      </c>
      <c r="E3" s="3">
        <v>15.3</v>
      </c>
    </row>
    <row r="4" spans="1:11" s="3" customFormat="1">
      <c r="A4" s="3" t="s">
        <v>144</v>
      </c>
      <c r="B4" s="5">
        <f>(B10+B11)/2</f>
        <v>155</v>
      </c>
      <c r="D4" s="3" t="s">
        <v>72</v>
      </c>
      <c r="E4" s="3">
        <v>50</v>
      </c>
    </row>
    <row r="5" spans="1:11" s="3" customFormat="1">
      <c r="A5" s="3" t="s">
        <v>145</v>
      </c>
      <c r="B5" s="3">
        <v>3250</v>
      </c>
    </row>
    <row r="6" spans="1:11" s="3" customFormat="1">
      <c r="A6" s="3" t="s">
        <v>146</v>
      </c>
      <c r="B6" s="4">
        <v>0.55002359581715332</v>
      </c>
      <c r="C6" s="3" t="s">
        <v>127</v>
      </c>
      <c r="D6" s="3">
        <f>B9*2/B6</f>
        <v>318.1681682946853</v>
      </c>
      <c r="E6" s="3" t="s">
        <v>129</v>
      </c>
      <c r="F6" s="3">
        <f>(D6+2*D7)*2</f>
        <v>1300.000000516935</v>
      </c>
    </row>
    <row r="7" spans="1:11" s="3" customFormat="1">
      <c r="A7" s="3" t="s">
        <v>147</v>
      </c>
      <c r="B7" s="4">
        <f>$B$6*$J$2/$J$1</f>
        <v>0.52737556540115282</v>
      </c>
      <c r="C7" s="3" t="s">
        <v>128</v>
      </c>
      <c r="D7" s="3">
        <f>(B8-B9)/B7</f>
        <v>165.91591598189112</v>
      </c>
    </row>
    <row r="8" spans="1:11" s="3" customFormat="1">
      <c r="A8" s="3" t="s">
        <v>148</v>
      </c>
      <c r="B8" s="3">
        <v>175</v>
      </c>
      <c r="F8" s="3">
        <f>ATAN(B10/B8)</f>
        <v>0.72165485086476122</v>
      </c>
    </row>
    <row r="9" spans="1:11" s="3" customFormat="1">
      <c r="A9" s="5" t="s">
        <v>149</v>
      </c>
      <c r="B9" s="5">
        <f>B8/2</f>
        <v>87.5</v>
      </c>
      <c r="C9" s="3" t="s">
        <v>133</v>
      </c>
      <c r="D9" s="3">
        <v>261</v>
      </c>
      <c r="E9" s="3" t="s">
        <v>138</v>
      </c>
      <c r="F9" s="3">
        <f>105*2.54</f>
        <v>266.7</v>
      </c>
    </row>
    <row r="10" spans="1:11" s="3" customFormat="1">
      <c r="A10" s="3" t="s">
        <v>150</v>
      </c>
      <c r="B10" s="3">
        <v>154</v>
      </c>
      <c r="C10" s="3" t="s">
        <v>135</v>
      </c>
      <c r="D10" s="3">
        <f>69*2.54</f>
        <v>175.26</v>
      </c>
      <c r="E10" s="3" t="s">
        <v>141</v>
      </c>
      <c r="F10" s="3">
        <f>10.24*2.54</f>
        <v>26.009600000000002</v>
      </c>
    </row>
    <row r="11" spans="1:11" s="3" customFormat="1">
      <c r="A11" s="3" t="s">
        <v>151</v>
      </c>
      <c r="B11" s="3">
        <v>156</v>
      </c>
      <c r="C11" s="3" t="s">
        <v>137</v>
      </c>
      <c r="D11" s="3">
        <v>95</v>
      </c>
    </row>
    <row r="12" spans="1:11" s="3" customFormat="1">
      <c r="A12" s="3" t="s">
        <v>124</v>
      </c>
    </row>
    <row r="13" spans="1:11" s="3" customFormat="1">
      <c r="A13" s="3" t="s">
        <v>118</v>
      </c>
    </row>
    <row r="14" spans="1:11" s="3" customFormat="1">
      <c r="A14" s="3" t="s">
        <v>55</v>
      </c>
      <c r="B14" s="3">
        <v>0</v>
      </c>
      <c r="C14" s="3" t="s">
        <v>56</v>
      </c>
      <c r="D14" s="3" t="s">
        <v>57</v>
      </c>
    </row>
    <row r="15" spans="1:11" s="3" customFormat="1">
      <c r="A15" s="3" t="s">
        <v>58</v>
      </c>
      <c r="B15" s="3">
        <v>-1</v>
      </c>
      <c r="D15" s="3" t="s">
        <v>59</v>
      </c>
    </row>
    <row r="16" spans="1:11" s="3" customFormat="1">
      <c r="A16" s="3" t="s">
        <v>45</v>
      </c>
      <c r="B16" s="3">
        <v>0</v>
      </c>
      <c r="D16" s="3" t="s">
        <v>60</v>
      </c>
    </row>
    <row r="17" spans="1:6" s="3" customFormat="1">
      <c r="A17" s="3" t="s">
        <v>49</v>
      </c>
      <c r="B17" s="3">
        <v>1</v>
      </c>
      <c r="C17" s="3" t="s">
        <v>61</v>
      </c>
      <c r="D17" s="3" t="s">
        <v>62</v>
      </c>
    </row>
    <row r="18" spans="1:6" s="3" customFormat="1">
      <c r="A18" s="3" t="s">
        <v>47</v>
      </c>
      <c r="B18" s="3">
        <v>0.05</v>
      </c>
      <c r="C18" s="3" t="s">
        <v>46</v>
      </c>
      <c r="D18" s="3" t="s">
        <v>40</v>
      </c>
    </row>
    <row r="19" spans="1:6" s="3" customFormat="1">
      <c r="A19" s="3" t="s">
        <v>48</v>
      </c>
      <c r="B19" s="3">
        <v>0.05</v>
      </c>
      <c r="C19" s="3" t="s">
        <v>46</v>
      </c>
      <c r="D19" s="3" t="s">
        <v>40</v>
      </c>
    </row>
    <row r="20" spans="1:6" s="3" customFormat="1">
      <c r="A20" s="3" t="s">
        <v>63</v>
      </c>
      <c r="B20" s="3">
        <v>8.0000000000000002E-3</v>
      </c>
      <c r="C20" s="3" t="s">
        <v>46</v>
      </c>
    </row>
    <row r="21" spans="1:6" s="3" customFormat="1">
      <c r="A21" s="3" t="s">
        <v>50</v>
      </c>
      <c r="B21" s="3">
        <v>0</v>
      </c>
      <c r="C21" s="3" t="s">
        <v>46</v>
      </c>
      <c r="D21" s="3" t="s">
        <v>41</v>
      </c>
    </row>
    <row r="22" spans="1:6" s="3" customFormat="1">
      <c r="A22" s="3" t="s">
        <v>51</v>
      </c>
      <c r="B22" s="3">
        <v>0</v>
      </c>
      <c r="C22" s="3" t="s">
        <v>46</v>
      </c>
      <c r="D22" s="3" t="s">
        <v>42</v>
      </c>
    </row>
    <row r="23" spans="1:6" s="3" customFormat="1">
      <c r="A23" s="3" t="s">
        <v>52</v>
      </c>
      <c r="B23" s="3">
        <v>0</v>
      </c>
      <c r="C23" s="3" t="s">
        <v>46</v>
      </c>
      <c r="D23" s="3" t="s">
        <v>43</v>
      </c>
    </row>
    <row r="24" spans="1:6" s="3" customFormat="1">
      <c r="A24" s="3" t="s">
        <v>53</v>
      </c>
      <c r="B24" s="3">
        <v>0</v>
      </c>
      <c r="C24" s="3" t="s">
        <v>46</v>
      </c>
      <c r="D24" s="3" t="s">
        <v>44</v>
      </c>
    </row>
    <row r="25" spans="1:6" s="3" customFormat="1">
      <c r="A25" s="3" t="s">
        <v>118</v>
      </c>
    </row>
    <row r="26" spans="1:6" s="3" customFormat="1">
      <c r="A26" s="3" t="s">
        <v>18</v>
      </c>
    </row>
    <row r="27" spans="1:6" s="3" customFormat="1">
      <c r="A27" s="3" t="s">
        <v>19</v>
      </c>
      <c r="B27" s="3">
        <v>20</v>
      </c>
      <c r="C27" s="3" t="s">
        <v>20</v>
      </c>
      <c r="D27" s="3">
        <v>20</v>
      </c>
      <c r="E27" s="3" t="s">
        <v>119</v>
      </c>
      <c r="F27" s="3">
        <v>3.3000000000000002E-2</v>
      </c>
    </row>
    <row r="28" spans="1:6" s="3" customFormat="1">
      <c r="A28" s="3" t="s">
        <v>21</v>
      </c>
      <c r="B28" s="3">
        <v>120</v>
      </c>
      <c r="C28" s="3" t="s">
        <v>22</v>
      </c>
      <c r="D28" s="3">
        <f>INT(F28*$B$30)</f>
        <v>200</v>
      </c>
      <c r="E28" s="3" t="s">
        <v>118</v>
      </c>
      <c r="F28" s="3">
        <v>0.25</v>
      </c>
    </row>
    <row r="29" spans="1:6" s="3" customFormat="1">
      <c r="A29" s="3" t="s">
        <v>23</v>
      </c>
      <c r="B29" s="3">
        <v>280</v>
      </c>
      <c r="C29" s="3" t="s">
        <v>24</v>
      </c>
      <c r="D29" s="3">
        <f>INT(F29*$B$30)</f>
        <v>760</v>
      </c>
      <c r="E29" s="3" t="s">
        <v>118</v>
      </c>
      <c r="F29" s="3">
        <v>0.95</v>
      </c>
    </row>
    <row r="30" spans="1:6" s="3" customFormat="1">
      <c r="A30" s="3" t="s">
        <v>25</v>
      </c>
      <c r="B30" s="3">
        <v>800</v>
      </c>
    </row>
    <row r="31" spans="1:6" s="3" customFormat="1">
      <c r="A31" s="3" t="s">
        <v>26</v>
      </c>
    </row>
    <row r="32" spans="1:6" s="3" customFormat="1">
      <c r="A32" s="3" t="s">
        <v>27</v>
      </c>
      <c r="B32" s="3">
        <v>-310</v>
      </c>
      <c r="C32" s="3" t="s">
        <v>30</v>
      </c>
      <c r="D32" s="3">
        <f>INT(F32*$B$37)</f>
        <v>100</v>
      </c>
      <c r="E32" s="3" t="s">
        <v>119</v>
      </c>
      <c r="F32" s="3">
        <v>0.1</v>
      </c>
    </row>
    <row r="33" spans="1:6" s="3" customFormat="1">
      <c r="A33" s="3" t="s">
        <v>64</v>
      </c>
      <c r="B33" s="3">
        <v>-160</v>
      </c>
      <c r="C33" s="3" t="s">
        <v>31</v>
      </c>
      <c r="D33" s="3">
        <f>INT(F33*$B$37)</f>
        <v>300</v>
      </c>
      <c r="E33" s="3" t="s">
        <v>118</v>
      </c>
      <c r="F33" s="3">
        <v>0.3</v>
      </c>
    </row>
    <row r="34" spans="1:6" s="3" customFormat="1">
      <c r="A34" s="3" t="s">
        <v>28</v>
      </c>
      <c r="B34" s="3">
        <v>160</v>
      </c>
      <c r="C34" s="3" t="s">
        <v>32</v>
      </c>
      <c r="D34" s="3">
        <f>INT(F34*$B$37)</f>
        <v>500</v>
      </c>
      <c r="E34" s="3" t="s">
        <v>118</v>
      </c>
      <c r="F34" s="3">
        <v>0.5</v>
      </c>
    </row>
    <row r="35" spans="1:6" s="3" customFormat="1">
      <c r="A35" s="3" t="s">
        <v>29</v>
      </c>
      <c r="B35" s="3">
        <v>300</v>
      </c>
      <c r="C35" s="3" t="s">
        <v>33</v>
      </c>
      <c r="D35" s="3">
        <f>INT(F35*$B$37)</f>
        <v>600</v>
      </c>
      <c r="E35" s="3" t="s">
        <v>118</v>
      </c>
      <c r="F35" s="3">
        <v>0.6</v>
      </c>
    </row>
    <row r="36" spans="1:6" s="3" customFormat="1">
      <c r="A36" s="3" t="s">
        <v>65</v>
      </c>
      <c r="B36" s="3">
        <v>500</v>
      </c>
      <c r="C36" s="3" t="s">
        <v>66</v>
      </c>
      <c r="D36" s="3">
        <f>INT(F36*$B$37)</f>
        <v>900</v>
      </c>
      <c r="E36" s="3" t="s">
        <v>118</v>
      </c>
      <c r="F36" s="3">
        <v>0.9</v>
      </c>
    </row>
    <row r="37" spans="1:6" s="3" customFormat="1">
      <c r="A37" s="3" t="s">
        <v>67</v>
      </c>
      <c r="B37" s="3">
        <v>1000</v>
      </c>
      <c r="C37" s="3" t="s">
        <v>2</v>
      </c>
    </row>
    <row r="38" spans="1:6" s="3" customFormat="1">
      <c r="A38" s="3" t="s">
        <v>118</v>
      </c>
      <c r="B38" s="3" t="s">
        <v>152</v>
      </c>
      <c r="C38" s="3">
        <v>1</v>
      </c>
    </row>
    <row r="39" spans="1:6" s="3" customFormat="1">
      <c r="A39" s="3" t="s">
        <v>68</v>
      </c>
      <c r="B39" s="3">
        <v>-400</v>
      </c>
      <c r="C39" s="3" t="s">
        <v>69</v>
      </c>
      <c r="D39" s="3">
        <v>0</v>
      </c>
      <c r="E39" s="3" t="s">
        <v>70</v>
      </c>
      <c r="F39" s="3" t="s">
        <v>71</v>
      </c>
    </row>
    <row r="40" spans="1:6" s="3" customFormat="1">
      <c r="A40" s="3" t="s">
        <v>68</v>
      </c>
      <c r="B40" s="3">
        <v>600</v>
      </c>
      <c r="C40" s="3" t="s">
        <v>69</v>
      </c>
      <c r="D40" s="3">
        <v>0</v>
      </c>
      <c r="E40" s="3" t="s">
        <v>2</v>
      </c>
    </row>
    <row r="41" spans="1:6" s="3" customFormat="1">
      <c r="A41" s="3" t="s">
        <v>68</v>
      </c>
      <c r="B41" s="3">
        <f>B40</f>
        <v>600</v>
      </c>
      <c r="C41" s="3" t="s">
        <v>69</v>
      </c>
      <c r="D41" s="3">
        <v>400</v>
      </c>
      <c r="E41" s="3" t="s">
        <v>2</v>
      </c>
    </row>
    <row r="42" spans="1:6" s="3" customFormat="1">
      <c r="A42" s="3" t="s">
        <v>68</v>
      </c>
      <c r="B42" s="3">
        <f>B39</f>
        <v>-400</v>
      </c>
      <c r="C42" s="3" t="s">
        <v>69</v>
      </c>
      <c r="D42" s="3">
        <f>D41</f>
        <v>400</v>
      </c>
      <c r="E42" s="3" t="s">
        <v>2</v>
      </c>
    </row>
    <row r="43" spans="1:6" s="3" customFormat="1">
      <c r="A43" s="3" t="s">
        <v>68</v>
      </c>
      <c r="B43" s="3">
        <v>-400</v>
      </c>
      <c r="C43" s="3" t="s">
        <v>69</v>
      </c>
      <c r="D43" s="3">
        <v>0</v>
      </c>
      <c r="E43" s="3" t="s">
        <v>2</v>
      </c>
    </row>
    <row r="44" spans="1:6" s="3" customFormat="1">
      <c r="A44" s="3" t="s">
        <v>118</v>
      </c>
    </row>
    <row r="45" spans="1:6" s="3" customFormat="1">
      <c r="A45" s="3" t="s">
        <v>125</v>
      </c>
      <c r="B45" s="3" t="s">
        <v>152</v>
      </c>
      <c r="C45" s="3">
        <f>C38+1</f>
        <v>2</v>
      </c>
    </row>
    <row r="46" spans="1:6" s="3" customFormat="1">
      <c r="A46" s="3" t="s">
        <v>4</v>
      </c>
      <c r="B46" s="3" t="s">
        <v>5</v>
      </c>
      <c r="C46" s="3" t="s">
        <v>6</v>
      </c>
      <c r="D46" s="4">
        <f>D7*2*B5</f>
        <v>1078453.4538822924</v>
      </c>
      <c r="E46" s="3" t="s">
        <v>2</v>
      </c>
    </row>
    <row r="47" spans="1:6" s="3" customFormat="1">
      <c r="A47" s="3" t="s">
        <v>0</v>
      </c>
      <c r="B47" s="3" t="s">
        <v>13</v>
      </c>
      <c r="C47" s="4">
        <f>-B8</f>
        <v>-175</v>
      </c>
      <c r="D47" s="3" t="s">
        <v>1</v>
      </c>
      <c r="E47" s="4">
        <f>$B$11</f>
        <v>156</v>
      </c>
      <c r="F47" s="3" t="s">
        <v>2</v>
      </c>
    </row>
    <row r="48" spans="1:6" s="3" customFormat="1">
      <c r="A48" s="3" t="s">
        <v>0</v>
      </c>
      <c r="B48" s="3" t="s">
        <v>13</v>
      </c>
      <c r="C48" s="4">
        <f>-B9</f>
        <v>-87.5</v>
      </c>
      <c r="D48" s="3" t="s">
        <v>1</v>
      </c>
      <c r="E48" s="4">
        <f>E47</f>
        <v>156</v>
      </c>
      <c r="F48" s="3" t="s">
        <v>2</v>
      </c>
    </row>
    <row r="49" spans="1:6" s="3" customFormat="1">
      <c r="A49" s="3" t="s">
        <v>0</v>
      </c>
      <c r="B49" s="3" t="s">
        <v>13</v>
      </c>
      <c r="C49" s="4">
        <f>C48</f>
        <v>-87.5</v>
      </c>
      <c r="D49" s="3" t="s">
        <v>1</v>
      </c>
      <c r="E49" s="4">
        <f>$B$10</f>
        <v>154</v>
      </c>
      <c r="F49" s="3" t="s">
        <v>2</v>
      </c>
    </row>
    <row r="50" spans="1:6" s="3" customFormat="1">
      <c r="A50" s="3" t="s">
        <v>0</v>
      </c>
      <c r="B50" s="3" t="s">
        <v>13</v>
      </c>
      <c r="C50" s="4">
        <f>C47</f>
        <v>-175</v>
      </c>
      <c r="D50" s="3" t="s">
        <v>1</v>
      </c>
      <c r="E50" s="4">
        <f>E49</f>
        <v>154</v>
      </c>
      <c r="F50" s="3" t="s">
        <v>2</v>
      </c>
    </row>
    <row r="51" spans="1:6" s="3" customFormat="1">
      <c r="A51" s="3" t="s">
        <v>0</v>
      </c>
      <c r="B51" s="3" t="s">
        <v>13</v>
      </c>
      <c r="C51" s="4">
        <f>C47</f>
        <v>-175</v>
      </c>
      <c r="D51" s="3" t="s">
        <v>1</v>
      </c>
      <c r="E51" s="4">
        <f>E47</f>
        <v>156</v>
      </c>
      <c r="F51" s="3" t="s">
        <v>2</v>
      </c>
    </row>
    <row r="52" spans="1:6" s="3" customFormat="1">
      <c r="A52" s="3" t="s">
        <v>118</v>
      </c>
    </row>
    <row r="53" spans="1:6" s="3" customFormat="1">
      <c r="A53" s="3" t="s">
        <v>126</v>
      </c>
      <c r="B53" s="3" t="s">
        <v>152</v>
      </c>
      <c r="C53" s="3">
        <f>C45+1</f>
        <v>3</v>
      </c>
    </row>
    <row r="54" spans="1:6" s="3" customFormat="1">
      <c r="A54" s="3" t="s">
        <v>4</v>
      </c>
      <c r="B54" s="3" t="s">
        <v>5</v>
      </c>
      <c r="C54" s="3" t="s">
        <v>6</v>
      </c>
      <c r="D54" s="4">
        <f>D6*2*B5</f>
        <v>2068093.0939154543</v>
      </c>
      <c r="E54" s="3" t="s">
        <v>2</v>
      </c>
    </row>
    <row r="55" spans="1:6" s="3" customFormat="1">
      <c r="A55" s="3" t="s">
        <v>0</v>
      </c>
      <c r="B55" s="3" t="s">
        <v>13</v>
      </c>
      <c r="C55" s="4">
        <f>-$B$9</f>
        <v>-87.5</v>
      </c>
      <c r="D55" s="3" t="s">
        <v>1</v>
      </c>
      <c r="E55" s="4">
        <f>$B$11</f>
        <v>156</v>
      </c>
      <c r="F55" s="3" t="s">
        <v>2</v>
      </c>
    </row>
    <row r="56" spans="1:6" s="3" customFormat="1">
      <c r="A56" s="3" t="s">
        <v>0</v>
      </c>
      <c r="B56" s="3" t="s">
        <v>13</v>
      </c>
      <c r="C56" s="4">
        <f>$B$9</f>
        <v>87.5</v>
      </c>
      <c r="D56" s="3" t="s">
        <v>1</v>
      </c>
      <c r="E56" s="4">
        <f>E55</f>
        <v>156</v>
      </c>
      <c r="F56" s="3" t="s">
        <v>2</v>
      </c>
    </row>
    <row r="57" spans="1:6" s="3" customFormat="1">
      <c r="A57" s="3" t="s">
        <v>0</v>
      </c>
      <c r="B57" s="3" t="s">
        <v>13</v>
      </c>
      <c r="C57" s="4">
        <f>$B$9</f>
        <v>87.5</v>
      </c>
      <c r="D57" s="3" t="s">
        <v>1</v>
      </c>
      <c r="E57" s="4">
        <f>$B$10</f>
        <v>154</v>
      </c>
      <c r="F57" s="3" t="s">
        <v>2</v>
      </c>
    </row>
    <row r="58" spans="1:6" s="3" customFormat="1">
      <c r="A58" s="3" t="s">
        <v>0</v>
      </c>
      <c r="B58" s="3" t="s">
        <v>13</v>
      </c>
      <c r="C58" s="4">
        <f>-$B$9</f>
        <v>-87.5</v>
      </c>
      <c r="D58" s="3" t="s">
        <v>1</v>
      </c>
      <c r="E58" s="4">
        <f>E57</f>
        <v>154</v>
      </c>
      <c r="F58" s="3" t="s">
        <v>2</v>
      </c>
    </row>
    <row r="59" spans="1:6" s="3" customFormat="1">
      <c r="A59" s="3" t="s">
        <v>0</v>
      </c>
      <c r="B59" s="3" t="s">
        <v>13</v>
      </c>
      <c r="C59" s="4">
        <f>-$B$9</f>
        <v>-87.5</v>
      </c>
      <c r="D59" s="3" t="s">
        <v>1</v>
      </c>
      <c r="E59" s="4">
        <f>E55</f>
        <v>156</v>
      </c>
      <c r="F59" s="3" t="s">
        <v>2</v>
      </c>
    </row>
    <row r="60" spans="1:6" s="3" customFormat="1">
      <c r="A60" s="3" t="s">
        <v>118</v>
      </c>
    </row>
    <row r="61" spans="1:6" s="3" customFormat="1">
      <c r="A61" s="3" t="s">
        <v>106</v>
      </c>
      <c r="B61" s="3" t="s">
        <v>152</v>
      </c>
      <c r="C61" s="3">
        <f>C53+1</f>
        <v>4</v>
      </c>
    </row>
    <row r="62" spans="1:6" s="3" customFormat="1">
      <c r="A62" s="3" t="s">
        <v>4</v>
      </c>
      <c r="B62" s="3" t="s">
        <v>5</v>
      </c>
      <c r="C62" s="3" t="s">
        <v>6</v>
      </c>
      <c r="D62" s="4">
        <f>D46</f>
        <v>1078453.4538822924</v>
      </c>
      <c r="E62" s="3" t="s">
        <v>2</v>
      </c>
    </row>
    <row r="63" spans="1:6" s="3" customFormat="1">
      <c r="A63" s="3" t="s">
        <v>0</v>
      </c>
      <c r="B63" s="3" t="s">
        <v>13</v>
      </c>
      <c r="C63" s="4">
        <f>B8</f>
        <v>175</v>
      </c>
      <c r="D63" s="3" t="s">
        <v>1</v>
      </c>
      <c r="E63" s="4">
        <f>$B$11</f>
        <v>156</v>
      </c>
      <c r="F63" s="3" t="s">
        <v>2</v>
      </c>
    </row>
    <row r="64" spans="1:6" s="3" customFormat="1">
      <c r="A64" s="3" t="s">
        <v>0</v>
      </c>
      <c r="B64" s="3" t="s">
        <v>13</v>
      </c>
      <c r="C64" s="4">
        <f>B9</f>
        <v>87.5</v>
      </c>
      <c r="D64" s="3" t="s">
        <v>1</v>
      </c>
      <c r="E64" s="4">
        <f>E63</f>
        <v>156</v>
      </c>
      <c r="F64" s="3" t="s">
        <v>2</v>
      </c>
    </row>
    <row r="65" spans="1:6" s="3" customFormat="1">
      <c r="A65" s="3" t="s">
        <v>0</v>
      </c>
      <c r="B65" s="3" t="s">
        <v>13</v>
      </c>
      <c r="C65" s="4">
        <f>B9</f>
        <v>87.5</v>
      </c>
      <c r="D65" s="3" t="s">
        <v>1</v>
      </c>
      <c r="E65" s="4">
        <f>$B$10</f>
        <v>154</v>
      </c>
      <c r="F65" s="3" t="s">
        <v>2</v>
      </c>
    </row>
    <row r="66" spans="1:6" s="3" customFormat="1">
      <c r="A66" s="3" t="s">
        <v>0</v>
      </c>
      <c r="B66" s="3" t="s">
        <v>13</v>
      </c>
      <c r="C66" s="4">
        <f>B8</f>
        <v>175</v>
      </c>
      <c r="D66" s="3" t="s">
        <v>1</v>
      </c>
      <c r="E66" s="4">
        <f>E65</f>
        <v>154</v>
      </c>
      <c r="F66" s="3" t="s">
        <v>2</v>
      </c>
    </row>
    <row r="67" spans="1:6" s="3" customFormat="1">
      <c r="A67" s="3" t="s">
        <v>0</v>
      </c>
      <c r="B67" s="3" t="s">
        <v>13</v>
      </c>
      <c r="C67" s="4">
        <f>B8</f>
        <v>175</v>
      </c>
      <c r="D67" s="3" t="s">
        <v>1</v>
      </c>
      <c r="E67" s="4">
        <f>E63</f>
        <v>156</v>
      </c>
      <c r="F67" s="3" t="s">
        <v>2</v>
      </c>
    </row>
    <row r="68" spans="1:6" s="3" customFormat="1">
      <c r="A68" s="3" t="s">
        <v>118</v>
      </c>
    </row>
    <row r="69" spans="1:6" s="3" customFormat="1">
      <c r="A69" s="3" t="s">
        <v>134</v>
      </c>
      <c r="B69" s="3" t="s">
        <v>152</v>
      </c>
      <c r="C69" s="3">
        <f>C61+1</f>
        <v>5</v>
      </c>
    </row>
    <row r="70" spans="1:6" s="3" customFormat="1">
      <c r="A70" s="3" t="s">
        <v>16</v>
      </c>
      <c r="B70" s="3" t="s">
        <v>17</v>
      </c>
      <c r="C70" s="3" t="s">
        <v>2</v>
      </c>
    </row>
    <row r="71" spans="1:6" s="3" customFormat="1">
      <c r="A71" s="3" t="s">
        <v>0</v>
      </c>
      <c r="B71" s="3" t="s">
        <v>13</v>
      </c>
      <c r="C71" s="4">
        <f>-$D$10</f>
        <v>-175.26</v>
      </c>
      <c r="D71" s="3" t="s">
        <v>1</v>
      </c>
      <c r="E71" s="4">
        <f>$D$9 - 36</f>
        <v>225</v>
      </c>
      <c r="F71" s="3" t="s">
        <v>2</v>
      </c>
    </row>
    <row r="72" spans="1:6" s="3" customFormat="1">
      <c r="A72" s="3" t="s">
        <v>0</v>
      </c>
      <c r="B72" s="3" t="s">
        <v>13</v>
      </c>
      <c r="C72" s="4">
        <f>$D$10</f>
        <v>175.26</v>
      </c>
      <c r="D72" s="3" t="s">
        <v>1</v>
      </c>
      <c r="E72" s="4">
        <f>E71</f>
        <v>225</v>
      </c>
      <c r="F72" s="3" t="s">
        <v>2</v>
      </c>
    </row>
    <row r="73" spans="1:6" s="3" customFormat="1">
      <c r="A73" s="3" t="s">
        <v>0</v>
      </c>
      <c r="B73" s="3" t="s">
        <v>13</v>
      </c>
      <c r="C73" s="4">
        <f>C72</f>
        <v>175.26</v>
      </c>
      <c r="D73" s="3" t="s">
        <v>1</v>
      </c>
      <c r="E73" s="4">
        <f>D9</f>
        <v>261</v>
      </c>
      <c r="F73" s="3" t="s">
        <v>2</v>
      </c>
    </row>
    <row r="74" spans="1:6" s="3" customFormat="1">
      <c r="A74" s="3" t="s">
        <v>0</v>
      </c>
      <c r="B74" s="3" t="s">
        <v>13</v>
      </c>
      <c r="C74" s="4">
        <f>C71</f>
        <v>-175.26</v>
      </c>
      <c r="D74" s="3" t="s">
        <v>1</v>
      </c>
      <c r="E74" s="4">
        <f>E73</f>
        <v>261</v>
      </c>
      <c r="F74" s="3" t="s">
        <v>2</v>
      </c>
    </row>
    <row r="75" spans="1:6" s="3" customFormat="1">
      <c r="A75" s="3" t="s">
        <v>0</v>
      </c>
      <c r="B75" s="3" t="s">
        <v>13</v>
      </c>
      <c r="C75" s="4">
        <f>C71</f>
        <v>-175.26</v>
      </c>
      <c r="D75" s="3" t="s">
        <v>1</v>
      </c>
      <c r="E75" s="4">
        <f>E71</f>
        <v>225</v>
      </c>
      <c r="F75" s="3" t="s">
        <v>2</v>
      </c>
    </row>
    <row r="76" spans="1:6" s="3" customFormat="1">
      <c r="A76" s="3" t="s">
        <v>118</v>
      </c>
    </row>
    <row r="77" spans="1:6" s="3" customFormat="1">
      <c r="A77" s="3" t="s">
        <v>136</v>
      </c>
      <c r="B77" s="3" t="s">
        <v>152</v>
      </c>
      <c r="C77" s="3">
        <f>C69+1</f>
        <v>6</v>
      </c>
    </row>
    <row r="78" spans="1:6" s="3" customFormat="1">
      <c r="A78" s="3" t="s">
        <v>16</v>
      </c>
      <c r="B78" s="3" t="s">
        <v>17</v>
      </c>
      <c r="C78" s="3" t="s">
        <v>2</v>
      </c>
    </row>
    <row r="79" spans="1:6" s="3" customFormat="1">
      <c r="A79" s="3" t="s">
        <v>0</v>
      </c>
      <c r="B79" s="3" t="s">
        <v>13</v>
      </c>
      <c r="C79" s="4">
        <f>-$D$10</f>
        <v>-175.26</v>
      </c>
      <c r="D79" s="3" t="s">
        <v>1</v>
      </c>
      <c r="E79" s="4">
        <f>$D$9-45</f>
        <v>216</v>
      </c>
      <c r="F79" s="3" t="s">
        <v>2</v>
      </c>
    </row>
    <row r="80" spans="1:6" s="3" customFormat="1">
      <c r="A80" s="3" t="s">
        <v>0</v>
      </c>
      <c r="B80" s="3" t="s">
        <v>13</v>
      </c>
      <c r="C80" s="4">
        <f>$D$10</f>
        <v>175.26</v>
      </c>
      <c r="D80" s="3" t="s">
        <v>1</v>
      </c>
      <c r="E80" s="4">
        <f>E79</f>
        <v>216</v>
      </c>
      <c r="F80" s="3" t="s">
        <v>2</v>
      </c>
    </row>
    <row r="81" spans="1:6" s="3" customFormat="1">
      <c r="A81" s="3" t="s">
        <v>0</v>
      </c>
      <c r="B81" s="3" t="s">
        <v>13</v>
      </c>
      <c r="C81" s="4">
        <f>C80</f>
        <v>175.26</v>
      </c>
      <c r="D81" s="3" t="s">
        <v>1</v>
      </c>
      <c r="E81" s="4">
        <f>$D$9-81</f>
        <v>180</v>
      </c>
      <c r="F81" s="3" t="s">
        <v>2</v>
      </c>
    </row>
    <row r="82" spans="1:6" s="3" customFormat="1">
      <c r="A82" s="3" t="s">
        <v>0</v>
      </c>
      <c r="B82" s="3" t="s">
        <v>13</v>
      </c>
      <c r="C82" s="4">
        <f>C79</f>
        <v>-175.26</v>
      </c>
      <c r="D82" s="3" t="s">
        <v>1</v>
      </c>
      <c r="E82" s="4">
        <f>E81</f>
        <v>180</v>
      </c>
      <c r="F82" s="3" t="s">
        <v>2</v>
      </c>
    </row>
    <row r="83" spans="1:6" s="3" customFormat="1">
      <c r="A83" s="3" t="s">
        <v>0</v>
      </c>
      <c r="B83" s="3" t="s">
        <v>13</v>
      </c>
      <c r="C83" s="4">
        <f>C79</f>
        <v>-175.26</v>
      </c>
      <c r="D83" s="3" t="s">
        <v>1</v>
      </c>
      <c r="E83" s="4">
        <f>E79</f>
        <v>216</v>
      </c>
      <c r="F83" s="3" t="s">
        <v>2</v>
      </c>
    </row>
    <row r="84" spans="1:6" s="3" customFormat="1">
      <c r="A84" s="3" t="s">
        <v>118</v>
      </c>
    </row>
    <row r="85" spans="1:6" s="3" customFormat="1">
      <c r="A85" s="3" t="s">
        <v>139</v>
      </c>
      <c r="B85" s="3" t="s">
        <v>152</v>
      </c>
      <c r="C85" s="3">
        <f>C77+1</f>
        <v>7</v>
      </c>
    </row>
    <row r="86" spans="1:6" s="3" customFormat="1">
      <c r="A86" s="3" t="s">
        <v>16</v>
      </c>
      <c r="B86" s="3" t="s">
        <v>17</v>
      </c>
      <c r="C86" s="3" t="s">
        <v>2</v>
      </c>
    </row>
    <row r="87" spans="1:6" s="3" customFormat="1">
      <c r="A87" s="3" t="s">
        <v>0</v>
      </c>
      <c r="B87" s="3" t="s">
        <v>13</v>
      </c>
      <c r="C87" s="4">
        <f>$D$10</f>
        <v>175.26</v>
      </c>
      <c r="D87" s="3" t="s">
        <v>1</v>
      </c>
      <c r="E87" s="4">
        <f>$D$11</f>
        <v>95</v>
      </c>
      <c r="F87" s="3" t="s">
        <v>2</v>
      </c>
    </row>
    <row r="88" spans="1:6" s="3" customFormat="1">
      <c r="A88" s="3" t="s">
        <v>0</v>
      </c>
      <c r="B88" s="3" t="s">
        <v>13</v>
      </c>
      <c r="C88" s="4">
        <f>C87</f>
        <v>175.26</v>
      </c>
      <c r="D88" s="3" t="s">
        <v>1</v>
      </c>
      <c r="E88" s="4">
        <f>$D$9</f>
        <v>261</v>
      </c>
      <c r="F88" s="3" t="s">
        <v>2</v>
      </c>
    </row>
    <row r="89" spans="1:6" s="3" customFormat="1">
      <c r="A89" s="3" t="s">
        <v>0</v>
      </c>
      <c r="B89" s="3" t="s">
        <v>13</v>
      </c>
      <c r="C89" s="4">
        <f>$F$9</f>
        <v>266.7</v>
      </c>
      <c r="D89" s="3" t="s">
        <v>1</v>
      </c>
      <c r="E89" s="4">
        <f>E88</f>
        <v>261</v>
      </c>
      <c r="F89" s="3" t="s">
        <v>2</v>
      </c>
    </row>
    <row r="90" spans="1:6" s="3" customFormat="1">
      <c r="A90" s="3" t="s">
        <v>0</v>
      </c>
      <c r="B90" s="3" t="s">
        <v>13</v>
      </c>
      <c r="C90" s="4">
        <f>C89</f>
        <v>266.7</v>
      </c>
      <c r="D90" s="3" t="s">
        <v>1</v>
      </c>
      <c r="E90" s="4">
        <f>E87</f>
        <v>95</v>
      </c>
      <c r="F90" s="3" t="s">
        <v>2</v>
      </c>
    </row>
    <row r="91" spans="1:6" s="3" customFormat="1">
      <c r="A91" s="3" t="s">
        <v>0</v>
      </c>
      <c r="B91" s="3" t="s">
        <v>13</v>
      </c>
      <c r="C91" s="4">
        <f>C87</f>
        <v>175.26</v>
      </c>
      <c r="D91" s="3" t="s">
        <v>1</v>
      </c>
      <c r="E91" s="4">
        <f>E87</f>
        <v>95</v>
      </c>
      <c r="F91" s="3" t="s">
        <v>2</v>
      </c>
    </row>
    <row r="92" spans="1:6" s="3" customFormat="1">
      <c r="A92" s="3" t="s">
        <v>118</v>
      </c>
    </row>
    <row r="93" spans="1:6" s="3" customFormat="1">
      <c r="A93" s="3" t="s">
        <v>139</v>
      </c>
      <c r="B93" s="3" t="s">
        <v>152</v>
      </c>
      <c r="C93" s="3">
        <f>C85+1</f>
        <v>8</v>
      </c>
    </row>
    <row r="94" spans="1:6" s="3" customFormat="1">
      <c r="A94" s="3" t="s">
        <v>16</v>
      </c>
      <c r="B94" s="3" t="s">
        <v>17</v>
      </c>
      <c r="C94" s="3" t="s">
        <v>2</v>
      </c>
    </row>
    <row r="95" spans="1:6" s="3" customFormat="1">
      <c r="A95" s="3" t="s">
        <v>0</v>
      </c>
      <c r="B95" s="3" t="s">
        <v>13</v>
      </c>
      <c r="C95" s="4">
        <f>-$D$10</f>
        <v>-175.26</v>
      </c>
      <c r="D95" s="3" t="s">
        <v>1</v>
      </c>
      <c r="E95" s="4">
        <f>$D$11</f>
        <v>95</v>
      </c>
      <c r="F95" s="3" t="s">
        <v>2</v>
      </c>
    </row>
    <row r="96" spans="1:6" s="3" customFormat="1">
      <c r="A96" s="3" t="s">
        <v>0</v>
      </c>
      <c r="B96" s="3" t="s">
        <v>13</v>
      </c>
      <c r="C96" s="4">
        <f>C95</f>
        <v>-175.26</v>
      </c>
      <c r="D96" s="3" t="s">
        <v>1</v>
      </c>
      <c r="E96" s="4">
        <f>$D$9</f>
        <v>261</v>
      </c>
      <c r="F96" s="3" t="s">
        <v>2</v>
      </c>
    </row>
    <row r="97" spans="1:6" s="3" customFormat="1">
      <c r="A97" s="3" t="s">
        <v>0</v>
      </c>
      <c r="B97" s="3" t="s">
        <v>13</v>
      </c>
      <c r="C97" s="4">
        <f>-$F$9</f>
        <v>-266.7</v>
      </c>
      <c r="D97" s="3" t="s">
        <v>1</v>
      </c>
      <c r="E97" s="4">
        <f>E96</f>
        <v>261</v>
      </c>
      <c r="F97" s="3" t="s">
        <v>2</v>
      </c>
    </row>
    <row r="98" spans="1:6" s="3" customFormat="1">
      <c r="A98" s="3" t="s">
        <v>0</v>
      </c>
      <c r="B98" s="3" t="s">
        <v>13</v>
      </c>
      <c r="C98" s="4">
        <f>C97</f>
        <v>-266.7</v>
      </c>
      <c r="D98" s="3" t="s">
        <v>1</v>
      </c>
      <c r="E98" s="4">
        <f>E95</f>
        <v>95</v>
      </c>
      <c r="F98" s="3" t="s">
        <v>2</v>
      </c>
    </row>
    <row r="99" spans="1:6" s="3" customFormat="1">
      <c r="A99" s="3" t="s">
        <v>0</v>
      </c>
      <c r="B99" s="3" t="s">
        <v>13</v>
      </c>
      <c r="C99" s="4">
        <f>C95</f>
        <v>-175.26</v>
      </c>
      <c r="D99" s="3" t="s">
        <v>1</v>
      </c>
      <c r="E99" s="4">
        <f>E95</f>
        <v>95</v>
      </c>
      <c r="F99" s="3" t="s">
        <v>2</v>
      </c>
    </row>
    <row r="100" spans="1:6" s="3" customFormat="1">
      <c r="A100" s="3" t="s">
        <v>118</v>
      </c>
    </row>
    <row r="101" spans="1:6" s="3" customFormat="1">
      <c r="A101" s="3" t="s">
        <v>140</v>
      </c>
      <c r="B101" s="3" t="s">
        <v>152</v>
      </c>
      <c r="C101" s="3">
        <f>C93+1</f>
        <v>9</v>
      </c>
    </row>
    <row r="102" spans="1:6" s="3" customFormat="1">
      <c r="A102" s="3" t="s">
        <v>16</v>
      </c>
      <c r="B102" s="3" t="s">
        <v>17</v>
      </c>
      <c r="C102" s="3" t="s">
        <v>2</v>
      </c>
    </row>
    <row r="103" spans="1:6" s="3" customFormat="1">
      <c r="A103" s="3" t="s">
        <v>0</v>
      </c>
      <c r="B103" s="3" t="s">
        <v>13</v>
      </c>
      <c r="C103" s="4">
        <f>$D$10</f>
        <v>175.26</v>
      </c>
      <c r="D103" s="3" t="s">
        <v>1</v>
      </c>
      <c r="E103" s="4">
        <f>$F$10</f>
        <v>26.009600000000002</v>
      </c>
      <c r="F103" s="3" t="s">
        <v>2</v>
      </c>
    </row>
    <row r="104" spans="1:6" s="3" customFormat="1">
      <c r="A104" s="3" t="s">
        <v>0</v>
      </c>
      <c r="B104" s="3" t="s">
        <v>13</v>
      </c>
      <c r="C104" s="3">
        <f>96.4*2.54</f>
        <v>244.85600000000002</v>
      </c>
      <c r="D104" s="3" t="s">
        <v>1</v>
      </c>
      <c r="E104" s="4">
        <f>$F$10</f>
        <v>26.009600000000002</v>
      </c>
      <c r="F104" s="3" t="s">
        <v>2</v>
      </c>
    </row>
    <row r="105" spans="1:6" s="3" customFormat="1">
      <c r="A105" s="3" t="s">
        <v>0</v>
      </c>
      <c r="B105" s="3" t="s">
        <v>13</v>
      </c>
      <c r="C105" s="4">
        <f>C104</f>
        <v>244.85600000000002</v>
      </c>
      <c r="D105" s="3" t="s">
        <v>1</v>
      </c>
      <c r="E105" s="3">
        <f>22*2.54</f>
        <v>55.88</v>
      </c>
      <c r="F105" s="3" t="s">
        <v>2</v>
      </c>
    </row>
    <row r="106" spans="1:6" s="3" customFormat="1">
      <c r="A106" s="3" t="s">
        <v>0</v>
      </c>
      <c r="B106" s="3" t="s">
        <v>13</v>
      </c>
      <c r="C106" s="4">
        <f>$F$9</f>
        <v>266.7</v>
      </c>
      <c r="D106" s="3" t="s">
        <v>1</v>
      </c>
      <c r="E106" s="3">
        <f>28*2.54</f>
        <v>71.12</v>
      </c>
      <c r="F106" s="3" t="s">
        <v>2</v>
      </c>
    </row>
    <row r="107" spans="1:6" s="3" customFormat="1">
      <c r="A107" s="3" t="s">
        <v>0</v>
      </c>
      <c r="B107" s="3" t="s">
        <v>13</v>
      </c>
      <c r="C107" s="4">
        <f>$F$9</f>
        <v>266.7</v>
      </c>
      <c r="D107" s="3" t="s">
        <v>1</v>
      </c>
      <c r="E107" s="4">
        <f>$D$11</f>
        <v>95</v>
      </c>
      <c r="F107" s="3" t="s">
        <v>2</v>
      </c>
    </row>
    <row r="108" spans="1:6" s="3" customFormat="1">
      <c r="A108" s="3" t="s">
        <v>0</v>
      </c>
      <c r="B108" s="3" t="s">
        <v>13</v>
      </c>
      <c r="C108" s="4">
        <f>$D$10</f>
        <v>175.26</v>
      </c>
      <c r="D108" s="3" t="s">
        <v>1</v>
      </c>
      <c r="E108" s="4">
        <f>$D$11</f>
        <v>95</v>
      </c>
      <c r="F108" s="3" t="s">
        <v>2</v>
      </c>
    </row>
    <row r="109" spans="1:6" s="3" customFormat="1">
      <c r="A109" s="3" t="s">
        <v>0</v>
      </c>
      <c r="B109" s="3" t="s">
        <v>13</v>
      </c>
      <c r="C109" s="4">
        <f>C103</f>
        <v>175.26</v>
      </c>
      <c r="D109" s="3" t="s">
        <v>1</v>
      </c>
      <c r="E109" s="4">
        <f>E103</f>
        <v>26.009600000000002</v>
      </c>
      <c r="F109" s="3" t="s">
        <v>2</v>
      </c>
    </row>
    <row r="110" spans="1:6" s="3" customFormat="1">
      <c r="A110" s="3" t="s">
        <v>118</v>
      </c>
    </row>
    <row r="111" spans="1:6" s="3" customFormat="1">
      <c r="A111" s="3" t="s">
        <v>142</v>
      </c>
      <c r="B111" s="3" t="s">
        <v>152</v>
      </c>
      <c r="C111" s="3">
        <f>C101+1</f>
        <v>10</v>
      </c>
    </row>
    <row r="112" spans="1:6" s="3" customFormat="1">
      <c r="A112" s="3" t="s">
        <v>16</v>
      </c>
      <c r="B112" s="3" t="s">
        <v>17</v>
      </c>
      <c r="C112" s="3" t="s">
        <v>2</v>
      </c>
    </row>
    <row r="113" spans="1:6" s="3" customFormat="1">
      <c r="A113" s="3" t="s">
        <v>0</v>
      </c>
      <c r="B113" s="3" t="s">
        <v>13</v>
      </c>
      <c r="C113" s="4">
        <f>-$D$10</f>
        <v>-175.26</v>
      </c>
      <c r="D113" s="3" t="s">
        <v>1</v>
      </c>
      <c r="E113" s="4">
        <f>$F$10</f>
        <v>26.009600000000002</v>
      </c>
      <c r="F113" s="3" t="s">
        <v>2</v>
      </c>
    </row>
    <row r="114" spans="1:6" s="3" customFormat="1">
      <c r="A114" s="3" t="s">
        <v>0</v>
      </c>
      <c r="B114" s="3" t="s">
        <v>13</v>
      </c>
      <c r="C114" s="3">
        <f>-96.4*2.54</f>
        <v>-244.85600000000002</v>
      </c>
      <c r="D114" s="3" t="s">
        <v>1</v>
      </c>
      <c r="E114" s="4">
        <f>$F$10</f>
        <v>26.009600000000002</v>
      </c>
      <c r="F114" s="3" t="s">
        <v>2</v>
      </c>
    </row>
    <row r="115" spans="1:6" s="3" customFormat="1">
      <c r="A115" s="3" t="s">
        <v>0</v>
      </c>
      <c r="B115" s="3" t="s">
        <v>13</v>
      </c>
      <c r="C115" s="4">
        <f>C114</f>
        <v>-244.85600000000002</v>
      </c>
      <c r="D115" s="3" t="s">
        <v>1</v>
      </c>
      <c r="E115" s="3">
        <f>22*2.54</f>
        <v>55.88</v>
      </c>
      <c r="F115" s="3" t="s">
        <v>2</v>
      </c>
    </row>
    <row r="116" spans="1:6" s="3" customFormat="1">
      <c r="A116" s="3" t="s">
        <v>0</v>
      </c>
      <c r="B116" s="3" t="s">
        <v>13</v>
      </c>
      <c r="C116" s="4">
        <f>-$F$9</f>
        <v>-266.7</v>
      </c>
      <c r="D116" s="3" t="s">
        <v>1</v>
      </c>
      <c r="E116" s="3">
        <f>28*2.54</f>
        <v>71.12</v>
      </c>
      <c r="F116" s="3" t="s">
        <v>2</v>
      </c>
    </row>
    <row r="117" spans="1:6" s="3" customFormat="1">
      <c r="A117" s="3" t="s">
        <v>0</v>
      </c>
      <c r="B117" s="3" t="s">
        <v>13</v>
      </c>
      <c r="C117" s="4">
        <f>-$F$9</f>
        <v>-266.7</v>
      </c>
      <c r="D117" s="3" t="s">
        <v>1</v>
      </c>
      <c r="E117" s="4">
        <f>$D$11</f>
        <v>95</v>
      </c>
      <c r="F117" s="3" t="s">
        <v>2</v>
      </c>
    </row>
    <row r="118" spans="1:6" s="3" customFormat="1">
      <c r="A118" s="3" t="s">
        <v>0</v>
      </c>
      <c r="B118" s="3" t="s">
        <v>13</v>
      </c>
      <c r="C118" s="4">
        <f>-$D$10</f>
        <v>-175.26</v>
      </c>
      <c r="D118" s="3" t="s">
        <v>1</v>
      </c>
      <c r="E118" s="4">
        <f>$D$11</f>
        <v>95</v>
      </c>
      <c r="F118" s="3" t="s">
        <v>2</v>
      </c>
    </row>
    <row r="119" spans="1:6" s="3" customFormat="1">
      <c r="A119" s="3" t="s">
        <v>0</v>
      </c>
      <c r="B119" s="3" t="s">
        <v>13</v>
      </c>
      <c r="C119" s="4">
        <f>C113</f>
        <v>-175.26</v>
      </c>
      <c r="D119" s="3" t="s">
        <v>1</v>
      </c>
      <c r="E119" s="4">
        <f>E113</f>
        <v>26.009600000000002</v>
      </c>
      <c r="F119" s="3" t="s">
        <v>2</v>
      </c>
    </row>
    <row r="120" spans="1:6" s="3" customFormat="1">
      <c r="A120" s="3" t="s">
        <v>118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="150" zoomScaleNormal="150" zoomScalePageLayoutView="150" workbookViewId="0">
      <pane ySplit="8" topLeftCell="A9" activePane="bottomLeft" state="frozen"/>
      <selection pane="bottomLeft" activeCell="H52" sqref="H52"/>
    </sheetView>
  </sheetViews>
  <sheetFormatPr baseColWidth="10" defaultColWidth="8.83203125" defaultRowHeight="12" x14ac:dyDescent="0"/>
  <cols>
    <col min="1" max="1" width="14.1640625" customWidth="1"/>
  </cols>
  <sheetData>
    <row r="1" spans="1:6">
      <c r="A1" t="s">
        <v>118</v>
      </c>
    </row>
    <row r="2" spans="1:6">
      <c r="A2" t="s">
        <v>143</v>
      </c>
      <c r="B2">
        <v>1164</v>
      </c>
      <c r="D2" t="s">
        <v>34</v>
      </c>
      <c r="E2">
        <v>35</v>
      </c>
    </row>
    <row r="3" spans="1:6">
      <c r="A3" t="s">
        <v>158</v>
      </c>
      <c r="B3">
        <v>1.5</v>
      </c>
      <c r="D3" t="s">
        <v>35</v>
      </c>
      <c r="E3">
        <v>15.3</v>
      </c>
    </row>
    <row r="4" spans="1:6">
      <c r="A4" t="s">
        <v>144</v>
      </c>
      <c r="B4">
        <f>(B7+B8)/2</f>
        <v>158.82</v>
      </c>
      <c r="D4" t="s">
        <v>72</v>
      </c>
      <c r="E4">
        <v>50</v>
      </c>
    </row>
    <row r="5" spans="1:6">
      <c r="A5" t="s">
        <v>145</v>
      </c>
      <c r="B5">
        <f>B3 * (2*B6/100)/(0.0000004*3.1415927)/B2</f>
        <v>5127.4143279873333</v>
      </c>
    </row>
    <row r="6" spans="1:6">
      <c r="A6" t="s">
        <v>148</v>
      </c>
      <c r="B6">
        <v>250</v>
      </c>
      <c r="F6">
        <f>ATAN(B7/B6)</f>
        <v>0.54041950027058416</v>
      </c>
    </row>
    <row r="7" spans="1:6">
      <c r="A7" t="s">
        <v>150</v>
      </c>
      <c r="B7">
        <v>150</v>
      </c>
    </row>
    <row r="8" spans="1:6">
      <c r="A8" t="s">
        <v>151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 s="7">
        <f>-B6</f>
        <v>-250</v>
      </c>
      <c r="D44" t="s">
        <v>1</v>
      </c>
      <c r="E44" s="7">
        <f>B8</f>
        <v>167.64</v>
      </c>
      <c r="F44" t="s">
        <v>2</v>
      </c>
    </row>
    <row r="45" spans="1:6">
      <c r="A45" t="s">
        <v>0</v>
      </c>
      <c r="B45" t="s">
        <v>13</v>
      </c>
      <c r="C45" s="7">
        <f>B6</f>
        <v>250</v>
      </c>
      <c r="D45" t="s">
        <v>1</v>
      </c>
      <c r="E45" s="7">
        <f>E44</f>
        <v>167.64</v>
      </c>
      <c r="F45" t="s">
        <v>2</v>
      </c>
    </row>
    <row r="46" spans="1:6">
      <c r="A46" t="s">
        <v>0</v>
      </c>
      <c r="B46" t="s">
        <v>13</v>
      </c>
      <c r="C46" s="7">
        <f>C45</f>
        <v>250</v>
      </c>
      <c r="D46" t="s">
        <v>1</v>
      </c>
      <c r="E46" s="7">
        <f>B7</f>
        <v>150</v>
      </c>
      <c r="F46" t="s">
        <v>2</v>
      </c>
    </row>
    <row r="47" spans="1:6">
      <c r="A47" t="s">
        <v>0</v>
      </c>
      <c r="B47" t="s">
        <v>13</v>
      </c>
      <c r="C47" s="7">
        <f>C44</f>
        <v>-250</v>
      </c>
      <c r="D47" t="s">
        <v>1</v>
      </c>
      <c r="E47" s="7">
        <f>E46</f>
        <v>150</v>
      </c>
      <c r="F47" t="s">
        <v>2</v>
      </c>
    </row>
    <row r="48" spans="1:6">
      <c r="A48" t="s">
        <v>0</v>
      </c>
      <c r="B48" t="s">
        <v>13</v>
      </c>
      <c r="C48" s="7">
        <f>C44</f>
        <v>-250</v>
      </c>
      <c r="D48" t="s">
        <v>1</v>
      </c>
      <c r="E48" s="7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 s="7">
        <f>B8+H52</f>
        <v>177.64</v>
      </c>
      <c r="F52" t="s">
        <v>2</v>
      </c>
      <c r="G52" t="s">
        <v>120</v>
      </c>
      <c r="H52" s="8">
        <v>10</v>
      </c>
    </row>
    <row r="53" spans="1:8">
      <c r="A53" t="s">
        <v>0</v>
      </c>
      <c r="B53" t="s">
        <v>13</v>
      </c>
      <c r="C53" s="7">
        <f>B6</f>
        <v>250</v>
      </c>
      <c r="D53" t="s">
        <v>1</v>
      </c>
      <c r="E53" s="7">
        <f>E52</f>
        <v>177.64</v>
      </c>
      <c r="F53" t="s">
        <v>2</v>
      </c>
    </row>
    <row r="54" spans="1:8">
      <c r="A54" t="s">
        <v>0</v>
      </c>
      <c r="B54" t="s">
        <v>13</v>
      </c>
      <c r="C54" s="7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 s="7">
        <f>C52</f>
        <v>-320</v>
      </c>
      <c r="D55" t="s">
        <v>1</v>
      </c>
      <c r="E55" s="7">
        <f>E54</f>
        <v>252.64</v>
      </c>
      <c r="F55" t="s">
        <v>2</v>
      </c>
    </row>
    <row r="56" spans="1:8">
      <c r="A56" t="s">
        <v>0</v>
      </c>
      <c r="B56" t="s">
        <v>13</v>
      </c>
      <c r="C56" s="7">
        <f>C52</f>
        <v>-320</v>
      </c>
      <c r="D56" t="s">
        <v>1</v>
      </c>
      <c r="E56" s="7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295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295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295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295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295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255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255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295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295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295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295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295</v>
      </c>
      <c r="F97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"/>
  <sheetViews>
    <sheetView zoomScale="125" zoomScaleNormal="125" zoomScalePageLayoutView="125" workbookViewId="0">
      <pane ySplit="8" topLeftCell="A52" activePane="bottomLeft" state="frozen"/>
      <selection pane="bottomLeft" sqref="A1:XFD1048576"/>
    </sheetView>
  </sheetViews>
  <sheetFormatPr baseColWidth="10" defaultColWidth="8.83203125" defaultRowHeight="12" x14ac:dyDescent="0"/>
  <cols>
    <col min="1" max="1" width="14.1640625" customWidth="1"/>
  </cols>
  <sheetData>
    <row r="2" spans="1:6">
      <c r="A2" t="s">
        <v>10</v>
      </c>
      <c r="B2">
        <v>1164</v>
      </c>
      <c r="D2" t="s">
        <v>34</v>
      </c>
      <c r="E2">
        <v>35</v>
      </c>
    </row>
    <row r="3" spans="1:6">
      <c r="A3" t="s">
        <v>9</v>
      </c>
      <c r="B3">
        <v>1.5</v>
      </c>
      <c r="D3" t="s">
        <v>35</v>
      </c>
      <c r="E3">
        <v>15.3</v>
      </c>
    </row>
    <row r="4" spans="1:6">
      <c r="A4" t="s">
        <v>8</v>
      </c>
      <c r="B4">
        <f>(B7+B8)/2</f>
        <v>158.82</v>
      </c>
      <c r="D4" t="s">
        <v>72</v>
      </c>
      <c r="E4">
        <v>50</v>
      </c>
    </row>
    <row r="5" spans="1:6">
      <c r="A5" t="s">
        <v>7</v>
      </c>
      <c r="B5">
        <f>B3 * (2*B6/100)/(0.0000004*3.1415927)/B2</f>
        <v>5127.4143279873333</v>
      </c>
    </row>
    <row r="6" spans="1:6">
      <c r="A6" t="s">
        <v>3</v>
      </c>
      <c r="B6">
        <v>250</v>
      </c>
      <c r="F6">
        <f>ATAN(B7/B6)</f>
        <v>0.54041950027058416</v>
      </c>
    </row>
    <row r="7" spans="1:6">
      <c r="A7" t="s">
        <v>11</v>
      </c>
      <c r="B7">
        <v>150</v>
      </c>
    </row>
    <row r="8" spans="1:6">
      <c r="A8" t="s">
        <v>12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>
        <f>-B6</f>
        <v>-250</v>
      </c>
      <c r="D44" t="s">
        <v>1</v>
      </c>
      <c r="E44">
        <f>B8</f>
        <v>167.64</v>
      </c>
      <c r="F44" t="s">
        <v>2</v>
      </c>
    </row>
    <row r="45" spans="1:6">
      <c r="A45" t="s">
        <v>0</v>
      </c>
      <c r="B45" t="s">
        <v>13</v>
      </c>
      <c r="C45">
        <f>B6</f>
        <v>250</v>
      </c>
      <c r="D45" t="s">
        <v>1</v>
      </c>
      <c r="E45">
        <f>E44</f>
        <v>167.64</v>
      </c>
      <c r="F45" t="s">
        <v>2</v>
      </c>
    </row>
    <row r="46" spans="1:6">
      <c r="A46" t="s">
        <v>0</v>
      </c>
      <c r="B46" t="s">
        <v>13</v>
      </c>
      <c r="C46">
        <f>C45</f>
        <v>250</v>
      </c>
      <c r="D46" t="s">
        <v>1</v>
      </c>
      <c r="E46">
        <f>B7</f>
        <v>150</v>
      </c>
      <c r="F46" t="s">
        <v>2</v>
      </c>
    </row>
    <row r="47" spans="1:6">
      <c r="A47" t="s">
        <v>0</v>
      </c>
      <c r="B47" t="s">
        <v>13</v>
      </c>
      <c r="C47">
        <f>C44</f>
        <v>-250</v>
      </c>
      <c r="D47" t="s">
        <v>1</v>
      </c>
      <c r="E47">
        <f>E46</f>
        <v>150</v>
      </c>
      <c r="F47" t="s">
        <v>2</v>
      </c>
    </row>
    <row r="48" spans="1:6">
      <c r="A48" t="s">
        <v>0</v>
      </c>
      <c r="B48" t="s">
        <v>13</v>
      </c>
      <c r="C48">
        <f>C44</f>
        <v>-250</v>
      </c>
      <c r="D48" t="s">
        <v>1</v>
      </c>
      <c r="E48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>
        <f>B8+H52</f>
        <v>177.64</v>
      </c>
      <c r="F52" t="s">
        <v>2</v>
      </c>
      <c r="G52" t="s">
        <v>120</v>
      </c>
      <c r="H52">
        <v>10</v>
      </c>
    </row>
    <row r="53" spans="1:8">
      <c r="A53" t="s">
        <v>0</v>
      </c>
      <c r="B53" t="s">
        <v>13</v>
      </c>
      <c r="C53">
        <f>B6</f>
        <v>250</v>
      </c>
      <c r="D53" t="s">
        <v>1</v>
      </c>
      <c r="E53">
        <f>E52</f>
        <v>177.64</v>
      </c>
      <c r="F53" t="s">
        <v>2</v>
      </c>
    </row>
    <row r="54" spans="1:8">
      <c r="A54" t="s">
        <v>0</v>
      </c>
      <c r="B54" t="s">
        <v>13</v>
      </c>
      <c r="C54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>
        <f>C52</f>
        <v>-320</v>
      </c>
      <c r="D55" t="s">
        <v>1</v>
      </c>
      <c r="E55">
        <f>E54</f>
        <v>252.64</v>
      </c>
      <c r="F55" t="s">
        <v>2</v>
      </c>
    </row>
    <row r="56" spans="1:8">
      <c r="A56" t="s">
        <v>0</v>
      </c>
      <c r="B56" t="s">
        <v>13</v>
      </c>
      <c r="C56">
        <f>C52</f>
        <v>-320</v>
      </c>
      <c r="D56" t="s">
        <v>1</v>
      </c>
      <c r="E56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295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295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295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295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295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255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255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295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295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295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295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295</v>
      </c>
      <c r="F97" t="s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7"/>
  <sheetViews>
    <sheetView workbookViewId="0">
      <pane ySplit="8" topLeftCell="A60" activePane="bottomLeft" state="frozen"/>
      <selection pane="bottomLeft" activeCell="E121" sqref="E121"/>
    </sheetView>
  </sheetViews>
  <sheetFormatPr baseColWidth="10" defaultColWidth="8.83203125" defaultRowHeight="12" x14ac:dyDescent="0"/>
  <cols>
    <col min="1" max="1" width="14.1640625" customWidth="1"/>
  </cols>
  <sheetData>
    <row r="2" spans="1:6">
      <c r="A2" t="s">
        <v>10</v>
      </c>
      <c r="B2">
        <v>1164</v>
      </c>
      <c r="D2" t="s">
        <v>34</v>
      </c>
      <c r="E2">
        <v>35</v>
      </c>
    </row>
    <row r="3" spans="1:6">
      <c r="A3" t="s">
        <v>9</v>
      </c>
      <c r="B3">
        <v>1.5</v>
      </c>
      <c r="D3" t="s">
        <v>35</v>
      </c>
      <c r="E3">
        <v>15.3</v>
      </c>
    </row>
    <row r="4" spans="1:6">
      <c r="A4" t="s">
        <v>8</v>
      </c>
      <c r="B4">
        <f>(B7+B8)/2</f>
        <v>158.82</v>
      </c>
      <c r="D4" t="s">
        <v>72</v>
      </c>
      <c r="E4">
        <v>50</v>
      </c>
    </row>
    <row r="5" spans="1:6">
      <c r="A5" t="s">
        <v>7</v>
      </c>
      <c r="B5">
        <f>B3 * (2*B6/100)/(0.0000004*3.1415927)/B2</f>
        <v>5127.4143279873333</v>
      </c>
    </row>
    <row r="6" spans="1:6">
      <c r="A6" t="s">
        <v>3</v>
      </c>
      <c r="B6">
        <v>250</v>
      </c>
      <c r="F6">
        <f>ATAN(B7/B6)</f>
        <v>0.54041950027058416</v>
      </c>
    </row>
    <row r="7" spans="1:6">
      <c r="A7" t="s">
        <v>11</v>
      </c>
      <c r="B7">
        <v>150</v>
      </c>
    </row>
    <row r="8" spans="1:6">
      <c r="A8" t="s">
        <v>12</v>
      </c>
      <c r="B8">
        <v>167.64</v>
      </c>
    </row>
    <row r="9" spans="1:6">
      <c r="A9" t="s">
        <v>54</v>
      </c>
    </row>
    <row r="10" spans="1:6">
      <c r="A10" t="s">
        <v>118</v>
      </c>
    </row>
    <row r="11" spans="1:6">
      <c r="A11" t="s">
        <v>55</v>
      </c>
      <c r="B11">
        <v>0</v>
      </c>
      <c r="C11" t="s">
        <v>56</v>
      </c>
      <c r="D11" t="s">
        <v>57</v>
      </c>
    </row>
    <row r="12" spans="1:6">
      <c r="A12" t="s">
        <v>58</v>
      </c>
      <c r="B12">
        <v>-1</v>
      </c>
      <c r="D12" t="s">
        <v>59</v>
      </c>
    </row>
    <row r="13" spans="1:6">
      <c r="A13" t="s">
        <v>45</v>
      </c>
      <c r="B13">
        <v>0</v>
      </c>
      <c r="D13" t="s">
        <v>60</v>
      </c>
    </row>
    <row r="14" spans="1:6">
      <c r="A14" t="s">
        <v>49</v>
      </c>
      <c r="B14">
        <v>1</v>
      </c>
      <c r="C14" t="s">
        <v>61</v>
      </c>
      <c r="D14" t="s">
        <v>62</v>
      </c>
    </row>
    <row r="15" spans="1:6">
      <c r="A15" t="s">
        <v>47</v>
      </c>
      <c r="B15">
        <v>0.05</v>
      </c>
      <c r="C15" t="s">
        <v>46</v>
      </c>
      <c r="D15" t="s">
        <v>40</v>
      </c>
    </row>
    <row r="16" spans="1:6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20</v>
      </c>
      <c r="C24" t="s">
        <v>20</v>
      </c>
      <c r="D24">
        <f>INT(F24*$B$27)</f>
        <v>7</v>
      </c>
      <c r="E24" t="s">
        <v>119</v>
      </c>
      <c r="F24">
        <v>2.5000000000000001E-2</v>
      </c>
    </row>
    <row r="25" spans="1:6">
      <c r="A25" t="s">
        <v>21</v>
      </c>
      <c r="B25">
        <v>120</v>
      </c>
      <c r="C25" t="s">
        <v>22</v>
      </c>
      <c r="D25">
        <f>INT(F25*$B$27)</f>
        <v>75</v>
      </c>
      <c r="E25" t="s">
        <v>118</v>
      </c>
      <c r="F25">
        <v>0.25</v>
      </c>
    </row>
    <row r="26" spans="1:6">
      <c r="A26" t="s">
        <v>23</v>
      </c>
      <c r="B26">
        <v>300</v>
      </c>
      <c r="C26" t="s">
        <v>24</v>
      </c>
      <c r="D26">
        <f>INT(F26*$B$27)</f>
        <v>270</v>
      </c>
      <c r="E26" t="s">
        <v>118</v>
      </c>
      <c r="F26">
        <v>0.9</v>
      </c>
    </row>
    <row r="27" spans="1:6">
      <c r="A27" t="s">
        <v>25</v>
      </c>
      <c r="B27">
        <v>300</v>
      </c>
    </row>
    <row r="28" spans="1:6">
      <c r="A28" t="s">
        <v>26</v>
      </c>
    </row>
    <row r="29" spans="1:6">
      <c r="A29" t="s">
        <v>27</v>
      </c>
      <c r="B29">
        <v>-310</v>
      </c>
      <c r="C29" t="s">
        <v>30</v>
      </c>
      <c r="D29">
        <f>INT(F29*$B$34)</f>
        <v>40</v>
      </c>
      <c r="E29" t="s">
        <v>119</v>
      </c>
      <c r="F29">
        <v>0.1</v>
      </c>
    </row>
    <row r="30" spans="1:6">
      <c r="A30" t="s">
        <v>64</v>
      </c>
      <c r="B30">
        <v>-200</v>
      </c>
      <c r="C30" t="s">
        <v>31</v>
      </c>
      <c r="D30">
        <f>INT(F30*$B$34)</f>
        <v>120</v>
      </c>
      <c r="E30" t="s">
        <v>118</v>
      </c>
      <c r="F30">
        <v>0.3</v>
      </c>
    </row>
    <row r="31" spans="1:6">
      <c r="A31" t="s">
        <v>28</v>
      </c>
      <c r="B31">
        <v>230</v>
      </c>
      <c r="C31" t="s">
        <v>32</v>
      </c>
      <c r="D31">
        <f>INT(F31*$B$34)</f>
        <v>200</v>
      </c>
      <c r="E31" t="s">
        <v>118</v>
      </c>
      <c r="F31">
        <v>0.5</v>
      </c>
    </row>
    <row r="32" spans="1:6">
      <c r="A32" t="s">
        <v>29</v>
      </c>
      <c r="B32">
        <v>300</v>
      </c>
      <c r="C32" t="s">
        <v>33</v>
      </c>
      <c r="D32">
        <f>INT(F32*$B$34)</f>
        <v>240</v>
      </c>
      <c r="E32" t="s">
        <v>118</v>
      </c>
      <c r="F32">
        <v>0.6</v>
      </c>
    </row>
    <row r="33" spans="1:6">
      <c r="A33" t="s">
        <v>65</v>
      </c>
      <c r="B33">
        <v>500</v>
      </c>
      <c r="C33" t="s">
        <v>66</v>
      </c>
      <c r="D33">
        <f>INT(F33*$B$34)</f>
        <v>320</v>
      </c>
      <c r="E33" t="s">
        <v>118</v>
      </c>
      <c r="F33">
        <v>0.8</v>
      </c>
    </row>
    <row r="34" spans="1:6">
      <c r="A34" t="s">
        <v>67</v>
      </c>
      <c r="B34">
        <v>400</v>
      </c>
      <c r="C34" t="s">
        <v>2</v>
      </c>
    </row>
    <row r="35" spans="1:6">
      <c r="A35" t="s">
        <v>118</v>
      </c>
    </row>
    <row r="36" spans="1:6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6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6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6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6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6">
      <c r="A41" t="s">
        <v>118</v>
      </c>
    </row>
    <row r="42" spans="1:6">
      <c r="A42" t="s">
        <v>14</v>
      </c>
    </row>
    <row r="43" spans="1:6">
      <c r="A43" t="s">
        <v>4</v>
      </c>
      <c r="B43" t="s">
        <v>5</v>
      </c>
      <c r="C43" t="s">
        <v>6</v>
      </c>
      <c r="D43">
        <f>B5*B2</f>
        <v>5968310.2777772555</v>
      </c>
      <c r="E43" t="s">
        <v>2</v>
      </c>
    </row>
    <row r="44" spans="1:6">
      <c r="A44" t="s">
        <v>0</v>
      </c>
      <c r="B44" t="s">
        <v>13</v>
      </c>
      <c r="C44">
        <f>-B6</f>
        <v>-250</v>
      </c>
      <c r="D44" t="s">
        <v>1</v>
      </c>
      <c r="E44">
        <f>B8</f>
        <v>167.64</v>
      </c>
      <c r="F44" t="s">
        <v>2</v>
      </c>
    </row>
    <row r="45" spans="1:6">
      <c r="A45" t="s">
        <v>0</v>
      </c>
      <c r="B45" t="s">
        <v>13</v>
      </c>
      <c r="C45">
        <f>B6</f>
        <v>250</v>
      </c>
      <c r="D45" t="s">
        <v>1</v>
      </c>
      <c r="E45">
        <f>E44</f>
        <v>167.64</v>
      </c>
      <c r="F45" t="s">
        <v>2</v>
      </c>
    </row>
    <row r="46" spans="1:6">
      <c r="A46" t="s">
        <v>0</v>
      </c>
      <c r="B46" t="s">
        <v>13</v>
      </c>
      <c r="C46">
        <f>C45</f>
        <v>250</v>
      </c>
      <c r="D46" t="s">
        <v>1</v>
      </c>
      <c r="E46">
        <f>B7</f>
        <v>150</v>
      </c>
      <c r="F46" t="s">
        <v>2</v>
      </c>
    </row>
    <row r="47" spans="1:6">
      <c r="A47" t="s">
        <v>0</v>
      </c>
      <c r="B47" t="s">
        <v>13</v>
      </c>
      <c r="C47">
        <f>C44</f>
        <v>-250</v>
      </c>
      <c r="D47" t="s">
        <v>1</v>
      </c>
      <c r="E47">
        <f>E46</f>
        <v>150</v>
      </c>
      <c r="F47" t="s">
        <v>2</v>
      </c>
    </row>
    <row r="48" spans="1:6">
      <c r="A48" t="s">
        <v>0</v>
      </c>
      <c r="B48" t="s">
        <v>13</v>
      </c>
      <c r="C48">
        <f>C44</f>
        <v>-250</v>
      </c>
      <c r="D48" t="s">
        <v>1</v>
      </c>
      <c r="E48">
        <f>E44</f>
        <v>167.64</v>
      </c>
      <c r="F48" t="s">
        <v>2</v>
      </c>
    </row>
    <row r="49" spans="1:8">
      <c r="A49" t="s">
        <v>118</v>
      </c>
    </row>
    <row r="50" spans="1:8">
      <c r="A50" t="s">
        <v>15</v>
      </c>
    </row>
    <row r="51" spans="1:8">
      <c r="A51" t="s">
        <v>16</v>
      </c>
      <c r="B51" t="s">
        <v>17</v>
      </c>
      <c r="C51" t="s">
        <v>2</v>
      </c>
    </row>
    <row r="52" spans="1:8">
      <c r="A52" t="s">
        <v>0</v>
      </c>
      <c r="B52" t="s">
        <v>13</v>
      </c>
      <c r="C52">
        <f>-B6-70</f>
        <v>-320</v>
      </c>
      <c r="D52" t="s">
        <v>1</v>
      </c>
      <c r="E52">
        <f>B8+H52</f>
        <v>177.64</v>
      </c>
      <c r="F52" t="s">
        <v>2</v>
      </c>
      <c r="G52" t="s">
        <v>120</v>
      </c>
      <c r="H52">
        <v>10</v>
      </c>
    </row>
    <row r="53" spans="1:8">
      <c r="A53" t="s">
        <v>0</v>
      </c>
      <c r="B53" t="s">
        <v>13</v>
      </c>
      <c r="C53">
        <f>B6</f>
        <v>250</v>
      </c>
      <c r="D53" t="s">
        <v>1</v>
      </c>
      <c r="E53">
        <f>E52</f>
        <v>177.64</v>
      </c>
      <c r="F53" t="s">
        <v>2</v>
      </c>
    </row>
    <row r="54" spans="1:8">
      <c r="A54" t="s">
        <v>0</v>
      </c>
      <c r="B54" t="s">
        <v>13</v>
      </c>
      <c r="C54">
        <f>C53</f>
        <v>250</v>
      </c>
      <c r="D54" t="s">
        <v>1</v>
      </c>
      <c r="E54">
        <f>E53+75</f>
        <v>252.64</v>
      </c>
      <c r="F54" t="s">
        <v>2</v>
      </c>
    </row>
    <row r="55" spans="1:8">
      <c r="A55" t="s">
        <v>0</v>
      </c>
      <c r="B55" t="s">
        <v>13</v>
      </c>
      <c r="C55">
        <f>C52</f>
        <v>-320</v>
      </c>
      <c r="D55" t="s">
        <v>1</v>
      </c>
      <c r="E55">
        <f>E54</f>
        <v>252.64</v>
      </c>
      <c r="F55" t="s">
        <v>2</v>
      </c>
    </row>
    <row r="56" spans="1:8">
      <c r="A56" t="s">
        <v>0</v>
      </c>
      <c r="B56" t="s">
        <v>13</v>
      </c>
      <c r="C56">
        <f>C52</f>
        <v>-320</v>
      </c>
      <c r="D56" t="s">
        <v>1</v>
      </c>
      <c r="E56">
        <f>E52</f>
        <v>177.64</v>
      </c>
      <c r="F56" t="s">
        <v>2</v>
      </c>
    </row>
    <row r="57" spans="1:8">
      <c r="A57" t="s">
        <v>118</v>
      </c>
    </row>
    <row r="58" spans="1:8">
      <c r="A58" t="s">
        <v>39</v>
      </c>
    </row>
    <row r="59" spans="1:8">
      <c r="A59" t="s">
        <v>16</v>
      </c>
      <c r="B59" t="s">
        <v>17</v>
      </c>
      <c r="C59" t="s">
        <v>2</v>
      </c>
    </row>
    <row r="60" spans="1:8">
      <c r="A60" t="s">
        <v>0</v>
      </c>
      <c r="B60" t="s">
        <v>13</v>
      </c>
      <c r="C60">
        <f>C53</f>
        <v>250</v>
      </c>
      <c r="D60" t="s">
        <v>1</v>
      </c>
      <c r="E60">
        <v>320</v>
      </c>
      <c r="F60" t="s">
        <v>2</v>
      </c>
    </row>
    <row r="61" spans="1:8">
      <c r="A61" t="s">
        <v>0</v>
      </c>
      <c r="B61" t="s">
        <v>13</v>
      </c>
      <c r="C61">
        <f>C60+25</f>
        <v>275</v>
      </c>
      <c r="D61" t="s">
        <v>1</v>
      </c>
      <c r="E61">
        <f>E60</f>
        <v>320</v>
      </c>
      <c r="F61" t="s">
        <v>2</v>
      </c>
    </row>
    <row r="62" spans="1:8">
      <c r="A62" t="s">
        <v>0</v>
      </c>
      <c r="B62" t="s">
        <v>13</v>
      </c>
      <c r="C62">
        <f>C61</f>
        <v>275</v>
      </c>
      <c r="D62" t="s">
        <v>1</v>
      </c>
      <c r="E62">
        <f>B7</f>
        <v>150</v>
      </c>
      <c r="F62" t="s">
        <v>2</v>
      </c>
    </row>
    <row r="63" spans="1:8">
      <c r="A63" t="s">
        <v>0</v>
      </c>
      <c r="B63" t="s">
        <v>13</v>
      </c>
      <c r="C63">
        <f>C60</f>
        <v>250</v>
      </c>
      <c r="D63" t="s">
        <v>1</v>
      </c>
      <c r="E63">
        <f>E62</f>
        <v>150</v>
      </c>
      <c r="F63" t="s">
        <v>2</v>
      </c>
      <c r="G63" t="s">
        <v>118</v>
      </c>
      <c r="H63">
        <f>ATAN2(C62-E4,E62)*180/3.1415927</f>
        <v>33.690067028282236</v>
      </c>
    </row>
    <row r="64" spans="1:8">
      <c r="A64" t="s">
        <v>0</v>
      </c>
      <c r="B64" t="s">
        <v>13</v>
      </c>
      <c r="C64">
        <f>C60</f>
        <v>250</v>
      </c>
      <c r="D64" t="s">
        <v>1</v>
      </c>
      <c r="E64">
        <f>E60</f>
        <v>320</v>
      </c>
      <c r="F64" t="s">
        <v>2</v>
      </c>
    </row>
    <row r="65" spans="1:6">
      <c r="A65" t="s">
        <v>118</v>
      </c>
    </row>
    <row r="66" spans="1:6">
      <c r="A66" t="s">
        <v>37</v>
      </c>
    </row>
    <row r="67" spans="1:6">
      <c r="A67" t="s">
        <v>16</v>
      </c>
      <c r="B67" t="s">
        <v>17</v>
      </c>
      <c r="C67" t="s">
        <v>2</v>
      </c>
    </row>
    <row r="68" spans="1:6">
      <c r="A68" t="s">
        <v>0</v>
      </c>
      <c r="B68" t="s">
        <v>13</v>
      </c>
      <c r="C68">
        <f>C52</f>
        <v>-320</v>
      </c>
      <c r="D68" t="s">
        <v>1</v>
      </c>
      <c r="E68">
        <v>20</v>
      </c>
      <c r="F68" t="s">
        <v>2</v>
      </c>
    </row>
    <row r="69" spans="1:6">
      <c r="A69" t="s">
        <v>0</v>
      </c>
      <c r="B69" t="s">
        <v>13</v>
      </c>
      <c r="C69">
        <f>C68</f>
        <v>-320</v>
      </c>
      <c r="D69" t="s">
        <v>1</v>
      </c>
      <c r="E69">
        <f>E52</f>
        <v>177.64</v>
      </c>
      <c r="F69" t="s">
        <v>2</v>
      </c>
    </row>
    <row r="70" spans="1:6">
      <c r="A70" t="s">
        <v>0</v>
      </c>
      <c r="B70" t="s">
        <v>13</v>
      </c>
      <c r="C70">
        <f>-B6-20</f>
        <v>-270</v>
      </c>
      <c r="D70" t="s">
        <v>1</v>
      </c>
      <c r="E70">
        <f>E69</f>
        <v>177.64</v>
      </c>
      <c r="F70" t="s">
        <v>2</v>
      </c>
    </row>
    <row r="71" spans="1:6">
      <c r="A71" t="s">
        <v>0</v>
      </c>
      <c r="B71" t="s">
        <v>13</v>
      </c>
      <c r="C71">
        <f>C70</f>
        <v>-270</v>
      </c>
      <c r="D71" t="s">
        <v>1</v>
      </c>
      <c r="E71">
        <f>E68</f>
        <v>20</v>
      </c>
      <c r="F71" t="s">
        <v>2</v>
      </c>
    </row>
    <row r="72" spans="1:6">
      <c r="A72" t="s">
        <v>0</v>
      </c>
      <c r="B72" t="s">
        <v>13</v>
      </c>
      <c r="C72">
        <f>C68</f>
        <v>-320</v>
      </c>
      <c r="D72" t="s">
        <v>1</v>
      </c>
      <c r="E72">
        <f>E68</f>
        <v>20</v>
      </c>
      <c r="F72" t="s">
        <v>2</v>
      </c>
    </row>
    <row r="73" spans="1:6">
      <c r="A73" t="s">
        <v>118</v>
      </c>
    </row>
    <row r="74" spans="1:6">
      <c r="A74" t="s">
        <v>36</v>
      </c>
    </row>
    <row r="75" spans="1:6">
      <c r="A75" t="s">
        <v>16</v>
      </c>
      <c r="B75" t="s">
        <v>17</v>
      </c>
      <c r="C75" t="s">
        <v>2</v>
      </c>
    </row>
    <row r="76" spans="1:6">
      <c r="A76" t="s">
        <v>0</v>
      </c>
      <c r="B76" t="s">
        <v>13</v>
      </c>
      <c r="C76">
        <f>C61</f>
        <v>275</v>
      </c>
      <c r="D76" t="s">
        <v>1</v>
      </c>
      <c r="E76">
        <f>E60</f>
        <v>320</v>
      </c>
      <c r="F76" t="s">
        <v>2</v>
      </c>
    </row>
    <row r="77" spans="1:6">
      <c r="A77" t="s">
        <v>0</v>
      </c>
      <c r="B77" t="s">
        <v>13</v>
      </c>
      <c r="C77">
        <f>C86</f>
        <v>425</v>
      </c>
      <c r="D77" t="s">
        <v>1</v>
      </c>
      <c r="E77">
        <f>E76</f>
        <v>320</v>
      </c>
      <c r="F77" t="s">
        <v>2</v>
      </c>
    </row>
    <row r="78" spans="1:6">
      <c r="A78" t="s">
        <v>0</v>
      </c>
      <c r="B78" t="s">
        <v>13</v>
      </c>
      <c r="C78">
        <f>C77</f>
        <v>425</v>
      </c>
      <c r="D78" t="s">
        <v>1</v>
      </c>
      <c r="E78">
        <f>E77-40</f>
        <v>280</v>
      </c>
      <c r="F78" t="s">
        <v>2</v>
      </c>
    </row>
    <row r="79" spans="1:6">
      <c r="A79" t="s">
        <v>0</v>
      </c>
      <c r="B79" t="s">
        <v>13</v>
      </c>
      <c r="C79">
        <f>C76</f>
        <v>275</v>
      </c>
      <c r="D79" t="s">
        <v>1</v>
      </c>
      <c r="E79">
        <f>E78</f>
        <v>280</v>
      </c>
      <c r="F79" t="s">
        <v>2</v>
      </c>
    </row>
    <row r="80" spans="1:6">
      <c r="A80" t="s">
        <v>0</v>
      </c>
      <c r="B80" t="s">
        <v>13</v>
      </c>
      <c r="C80">
        <f>C76</f>
        <v>275</v>
      </c>
      <c r="D80" t="s">
        <v>1</v>
      </c>
      <c r="E80">
        <f>E76</f>
        <v>320</v>
      </c>
      <c r="F80" t="s">
        <v>2</v>
      </c>
    </row>
    <row r="81" spans="1:6">
      <c r="A81" t="s">
        <v>118</v>
      </c>
    </row>
    <row r="82" spans="1:6">
      <c r="A82" t="s">
        <v>38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C85</f>
        <v>475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C86+50</f>
        <v>475</v>
      </c>
      <c r="D85" t="s">
        <v>1</v>
      </c>
      <c r="E85">
        <f>E76</f>
        <v>320</v>
      </c>
      <c r="F85" t="s">
        <v>2</v>
      </c>
    </row>
    <row r="86" spans="1:6">
      <c r="A86" t="s">
        <v>0</v>
      </c>
      <c r="B86" t="s">
        <v>13</v>
      </c>
      <c r="C86">
        <f>MAX(C60:C64)+150</f>
        <v>425</v>
      </c>
      <c r="D86" t="s">
        <v>1</v>
      </c>
      <c r="E86">
        <f>E85</f>
        <v>320</v>
      </c>
      <c r="F86" t="s">
        <v>2</v>
      </c>
    </row>
    <row r="87" spans="1:6">
      <c r="A87" t="s">
        <v>0</v>
      </c>
      <c r="B87" t="s">
        <v>13</v>
      </c>
      <c r="C87">
        <f>C86</f>
        <v>425</v>
      </c>
      <c r="D87" t="s">
        <v>1</v>
      </c>
      <c r="E87">
        <f>(C87-$E$4)*TAN($E$3*3.1515927/180)</f>
        <v>102.93107777176003</v>
      </c>
      <c r="F87" t="s">
        <v>2</v>
      </c>
    </row>
    <row r="88" spans="1:6">
      <c r="A88" t="s">
        <v>0</v>
      </c>
      <c r="B88" t="s">
        <v>13</v>
      </c>
      <c r="C88">
        <v>200</v>
      </c>
      <c r="D88" t="s">
        <v>1</v>
      </c>
      <c r="E88">
        <f>(C88-$E$4)*TAN($E$3*3.1515927/180)</f>
        <v>41.172431108704011</v>
      </c>
      <c r="F88" t="s">
        <v>2</v>
      </c>
    </row>
    <row r="89" spans="1:6">
      <c r="A89" t="s">
        <v>0</v>
      </c>
      <c r="B89" t="s">
        <v>13</v>
      </c>
      <c r="C89">
        <f>C88</f>
        <v>200</v>
      </c>
      <c r="D89" t="s">
        <v>1</v>
      </c>
      <c r="E89">
        <f>E84</f>
        <v>20</v>
      </c>
      <c r="F89" t="s">
        <v>2</v>
      </c>
    </row>
    <row r="90" spans="1:6">
      <c r="A90" t="s">
        <v>0</v>
      </c>
      <c r="B90" t="s">
        <v>13</v>
      </c>
      <c r="C90">
        <f>C84</f>
        <v>475</v>
      </c>
      <c r="D90" t="s">
        <v>1</v>
      </c>
      <c r="E90">
        <f>E84</f>
        <v>20</v>
      </c>
      <c r="F90" t="s">
        <v>2</v>
      </c>
    </row>
    <row r="91" spans="1:6">
      <c r="A91" t="s">
        <v>118</v>
      </c>
    </row>
    <row r="92" spans="1:6">
      <c r="A92" t="s">
        <v>73</v>
      </c>
    </row>
    <row r="93" spans="1:6">
      <c r="A93" t="s">
        <v>16</v>
      </c>
      <c r="B93" t="s">
        <v>17</v>
      </c>
      <c r="C93" t="s">
        <v>2</v>
      </c>
    </row>
    <row r="94" spans="1:6">
      <c r="A94" t="s">
        <v>0</v>
      </c>
      <c r="B94" t="s">
        <v>13</v>
      </c>
      <c r="C94">
        <f>C53</f>
        <v>250</v>
      </c>
      <c r="D94" t="s">
        <v>1</v>
      </c>
      <c r="E94">
        <f>E60</f>
        <v>320</v>
      </c>
      <c r="F94" t="s">
        <v>2</v>
      </c>
    </row>
    <row r="95" spans="1:6">
      <c r="A95" t="s">
        <v>0</v>
      </c>
      <c r="B95" t="s">
        <v>13</v>
      </c>
      <c r="C95">
        <v>100</v>
      </c>
      <c r="D95" t="s">
        <v>1</v>
      </c>
      <c r="E95">
        <f>E54</f>
        <v>252.64</v>
      </c>
      <c r="F95" t="s">
        <v>2</v>
      </c>
    </row>
    <row r="96" spans="1:6">
      <c r="A96" t="s">
        <v>0</v>
      </c>
      <c r="B96" t="s">
        <v>13</v>
      </c>
      <c r="C96">
        <f>C94</f>
        <v>250</v>
      </c>
      <c r="D96" t="s">
        <v>1</v>
      </c>
      <c r="E96">
        <f>E95</f>
        <v>252.64</v>
      </c>
      <c r="F96" t="s">
        <v>2</v>
      </c>
    </row>
    <row r="97" spans="1:6">
      <c r="A97" t="s">
        <v>0</v>
      </c>
      <c r="B97" t="s">
        <v>13</v>
      </c>
      <c r="C97">
        <f>C94</f>
        <v>250</v>
      </c>
      <c r="D97" t="s">
        <v>1</v>
      </c>
      <c r="E97">
        <f>E94</f>
        <v>320</v>
      </c>
      <c r="F97" t="s">
        <v>2</v>
      </c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pane ySplit="8" topLeftCell="A9" activePane="bottomLeft" state="frozen"/>
      <selection pane="bottomLeft" activeCell="B32" sqref="B32"/>
    </sheetView>
  </sheetViews>
  <sheetFormatPr baseColWidth="10" defaultColWidth="8.83203125" defaultRowHeight="12" x14ac:dyDescent="0"/>
  <cols>
    <col min="1" max="1" width="14.1640625" customWidth="1"/>
  </cols>
  <sheetData>
    <row r="1" spans="1:12">
      <c r="H1" s="20" t="s">
        <v>107</v>
      </c>
      <c r="I1" s="20"/>
      <c r="J1" s="20"/>
      <c r="K1" t="s">
        <v>111</v>
      </c>
    </row>
    <row r="2" spans="1:12">
      <c r="A2" t="s">
        <v>10</v>
      </c>
      <c r="B2">
        <v>1164</v>
      </c>
      <c r="D2" t="s">
        <v>34</v>
      </c>
      <c r="E2">
        <v>35</v>
      </c>
      <c r="H2" t="s">
        <v>108</v>
      </c>
      <c r="I2">
        <v>64</v>
      </c>
      <c r="J2" t="s">
        <v>84</v>
      </c>
      <c r="K2">
        <v>20.8</v>
      </c>
      <c r="L2" t="s">
        <v>112</v>
      </c>
    </row>
    <row r="3" spans="1:12">
      <c r="A3" t="s">
        <v>9</v>
      </c>
      <c r="B3">
        <v>1.5</v>
      </c>
      <c r="D3" t="s">
        <v>35</v>
      </c>
      <c r="E3">
        <v>15.3</v>
      </c>
      <c r="H3" t="s">
        <v>109</v>
      </c>
      <c r="I3">
        <v>116</v>
      </c>
      <c r="J3" t="s">
        <v>84</v>
      </c>
      <c r="K3">
        <v>16.5</v>
      </c>
      <c r="L3" t="s">
        <v>112</v>
      </c>
    </row>
    <row r="4" spans="1:12">
      <c r="A4" t="s">
        <v>8</v>
      </c>
      <c r="B4">
        <f>(B7+B8)/2</f>
        <v>88</v>
      </c>
      <c r="D4" t="s">
        <v>72</v>
      </c>
      <c r="E4">
        <v>0</v>
      </c>
      <c r="H4" t="s">
        <v>110</v>
      </c>
      <c r="I4">
        <f>I2</f>
        <v>64</v>
      </c>
      <c r="J4" t="str">
        <f>J2</f>
        <v>cm</v>
      </c>
      <c r="K4">
        <f>K2</f>
        <v>20.8</v>
      </c>
      <c r="L4" t="str">
        <f>L2</f>
        <v>kA/cm</v>
      </c>
    </row>
    <row r="5" spans="1:12">
      <c r="A5" t="s">
        <v>7</v>
      </c>
      <c r="B5">
        <f>B3 * (2*B6/100)/(0.0000004*3.1415927)/B2</f>
        <v>2502.1781920578187</v>
      </c>
      <c r="H5" t="s">
        <v>114</v>
      </c>
      <c r="I5">
        <v>0</v>
      </c>
      <c r="J5" t="s">
        <v>84</v>
      </c>
    </row>
    <row r="6" spans="1:12">
      <c r="A6" t="s">
        <v>3</v>
      </c>
      <c r="B6">
        <f>(I2+I5+I3+I5+I4)/2</f>
        <v>122</v>
      </c>
      <c r="F6">
        <f>ATAN(B7/B6)</f>
        <v>0.61401903700794069</v>
      </c>
    </row>
    <row r="7" spans="1:12">
      <c r="A7" t="s">
        <v>11</v>
      </c>
      <c r="B7">
        <v>86</v>
      </c>
    </row>
    <row r="8" spans="1:12">
      <c r="A8" t="s">
        <v>12</v>
      </c>
      <c r="B8">
        <v>90</v>
      </c>
    </row>
    <row r="9" spans="1:12">
      <c r="A9" t="s">
        <v>113</v>
      </c>
    </row>
    <row r="10" spans="1:12">
      <c r="A10" t="s">
        <v>118</v>
      </c>
    </row>
    <row r="11" spans="1:12">
      <c r="A11" t="s">
        <v>55</v>
      </c>
      <c r="B11">
        <v>0</v>
      </c>
      <c r="C11" t="s">
        <v>56</v>
      </c>
      <c r="D11" t="s">
        <v>57</v>
      </c>
    </row>
    <row r="12" spans="1:12">
      <c r="A12" t="s">
        <v>58</v>
      </c>
      <c r="B12">
        <v>-1</v>
      </c>
      <c r="D12" t="s">
        <v>59</v>
      </c>
    </row>
    <row r="13" spans="1:12">
      <c r="A13" t="s">
        <v>45</v>
      </c>
      <c r="B13">
        <v>0</v>
      </c>
      <c r="D13" t="s">
        <v>60</v>
      </c>
    </row>
    <row r="14" spans="1:12">
      <c r="A14" t="s">
        <v>49</v>
      </c>
      <c r="B14">
        <v>1</v>
      </c>
      <c r="C14" t="s">
        <v>61</v>
      </c>
      <c r="D14" t="s">
        <v>62</v>
      </c>
    </row>
    <row r="15" spans="1:12">
      <c r="A15" t="s">
        <v>47</v>
      </c>
      <c r="B15">
        <v>0.05</v>
      </c>
      <c r="C15" t="s">
        <v>46</v>
      </c>
      <c r="D15" t="s">
        <v>40</v>
      </c>
    </row>
    <row r="16" spans="1:12">
      <c r="A16" t="s">
        <v>48</v>
      </c>
      <c r="B16">
        <v>0.05</v>
      </c>
      <c r="C16" t="s">
        <v>46</v>
      </c>
      <c r="D16" t="s">
        <v>40</v>
      </c>
    </row>
    <row r="17" spans="1:6">
      <c r="A17" t="s">
        <v>63</v>
      </c>
      <c r="B17">
        <v>8.0000000000000002E-3</v>
      </c>
      <c r="C17" t="s">
        <v>46</v>
      </c>
    </row>
    <row r="18" spans="1:6">
      <c r="A18" t="s">
        <v>50</v>
      </c>
      <c r="B18">
        <v>0</v>
      </c>
      <c r="C18" t="s">
        <v>46</v>
      </c>
      <c r="D18" t="s">
        <v>41</v>
      </c>
    </row>
    <row r="19" spans="1:6">
      <c r="A19" t="s">
        <v>51</v>
      </c>
      <c r="B19">
        <v>0</v>
      </c>
      <c r="C19" t="s">
        <v>46</v>
      </c>
      <c r="D19" t="s">
        <v>42</v>
      </c>
    </row>
    <row r="20" spans="1:6">
      <c r="A20" t="s">
        <v>52</v>
      </c>
      <c r="B20">
        <v>0</v>
      </c>
      <c r="C20" t="s">
        <v>46</v>
      </c>
      <c r="D20" t="s">
        <v>43</v>
      </c>
    </row>
    <row r="21" spans="1:6">
      <c r="A21" t="s">
        <v>53</v>
      </c>
      <c r="B21">
        <v>0</v>
      </c>
      <c r="C21" t="s">
        <v>46</v>
      </c>
      <c r="D21" t="s">
        <v>44</v>
      </c>
    </row>
    <row r="22" spans="1:6">
      <c r="A22" t="s">
        <v>118</v>
      </c>
    </row>
    <row r="23" spans="1:6">
      <c r="A23" t="s">
        <v>18</v>
      </c>
    </row>
    <row r="24" spans="1:6">
      <c r="A24" t="s">
        <v>19</v>
      </c>
      <c r="B24">
        <v>15</v>
      </c>
      <c r="C24" t="s">
        <v>20</v>
      </c>
      <c r="D24">
        <f>INT(F24*$B$27)</f>
        <v>10</v>
      </c>
      <c r="E24" t="s">
        <v>119</v>
      </c>
      <c r="F24">
        <v>2.5000000000000001E-2</v>
      </c>
    </row>
    <row r="25" spans="1:6">
      <c r="A25" t="s">
        <v>21</v>
      </c>
      <c r="B25">
        <v>75</v>
      </c>
      <c r="C25" t="s">
        <v>22</v>
      </c>
      <c r="D25">
        <f>INT(F25*$B$27)</f>
        <v>120</v>
      </c>
      <c r="E25" t="s">
        <v>118</v>
      </c>
      <c r="F25">
        <v>0.3</v>
      </c>
    </row>
    <row r="26" spans="1:6">
      <c r="A26" t="s">
        <v>23</v>
      </c>
      <c r="B26">
        <v>215</v>
      </c>
      <c r="C26" t="s">
        <v>24</v>
      </c>
      <c r="D26">
        <f>INT(F26*$B$27)</f>
        <v>388</v>
      </c>
      <c r="E26" t="s">
        <v>118</v>
      </c>
      <c r="F26">
        <v>0.97</v>
      </c>
    </row>
    <row r="27" spans="1:6">
      <c r="A27" t="s">
        <v>25</v>
      </c>
      <c r="B27">
        <v>400</v>
      </c>
    </row>
    <row r="28" spans="1:6">
      <c r="A28" t="s">
        <v>26</v>
      </c>
    </row>
    <row r="29" spans="1:6">
      <c r="A29" t="s">
        <v>27</v>
      </c>
      <c r="B29">
        <v>-200</v>
      </c>
      <c r="C29" t="s">
        <v>30</v>
      </c>
      <c r="D29">
        <f>INT(F29*$B$34)</f>
        <v>50</v>
      </c>
      <c r="E29" t="s">
        <v>119</v>
      </c>
      <c r="F29">
        <v>0.1</v>
      </c>
    </row>
    <row r="30" spans="1:6">
      <c r="A30" t="s">
        <v>64</v>
      </c>
      <c r="B30">
        <v>-100</v>
      </c>
      <c r="C30" t="s">
        <v>31</v>
      </c>
      <c r="D30">
        <f>INT(F30*$B$34)</f>
        <v>150</v>
      </c>
      <c r="E30" t="s">
        <v>118</v>
      </c>
      <c r="F30">
        <v>0.3</v>
      </c>
    </row>
    <row r="31" spans="1:6">
      <c r="A31" t="s">
        <v>28</v>
      </c>
      <c r="B31">
        <v>100</v>
      </c>
      <c r="C31" t="s">
        <v>32</v>
      </c>
      <c r="D31">
        <f>INT(F31*$B$34)</f>
        <v>250</v>
      </c>
      <c r="E31" t="s">
        <v>118</v>
      </c>
      <c r="F31">
        <v>0.5</v>
      </c>
    </row>
    <row r="32" spans="1:6">
      <c r="A32" t="s">
        <v>29</v>
      </c>
      <c r="B32">
        <v>270</v>
      </c>
      <c r="C32" t="s">
        <v>33</v>
      </c>
      <c r="D32">
        <f>INT(F32*$B$34)</f>
        <v>300</v>
      </c>
      <c r="E32" t="s">
        <v>118</v>
      </c>
      <c r="F32">
        <v>0.6</v>
      </c>
    </row>
    <row r="33" spans="1:7">
      <c r="A33" t="s">
        <v>65</v>
      </c>
      <c r="B33">
        <v>310</v>
      </c>
      <c r="C33" t="s">
        <v>66</v>
      </c>
      <c r="D33">
        <f>INT(F33*$B$34)</f>
        <v>475</v>
      </c>
      <c r="E33" t="s">
        <v>118</v>
      </c>
      <c r="F33">
        <v>0.95</v>
      </c>
    </row>
    <row r="34" spans="1:7">
      <c r="A34" t="s">
        <v>67</v>
      </c>
      <c r="B34">
        <v>500</v>
      </c>
      <c r="C34" t="s">
        <v>2</v>
      </c>
    </row>
    <row r="35" spans="1:7">
      <c r="A35" t="s">
        <v>118</v>
      </c>
    </row>
    <row r="36" spans="1:7">
      <c r="A36" t="s">
        <v>68</v>
      </c>
      <c r="B36">
        <v>-400</v>
      </c>
      <c r="C36" t="s">
        <v>69</v>
      </c>
      <c r="D36">
        <v>0</v>
      </c>
      <c r="E36" t="s">
        <v>70</v>
      </c>
      <c r="F36" t="s">
        <v>71</v>
      </c>
    </row>
    <row r="37" spans="1:7">
      <c r="A37" t="s">
        <v>68</v>
      </c>
      <c r="B37">
        <v>600</v>
      </c>
      <c r="C37" t="s">
        <v>69</v>
      </c>
      <c r="D37">
        <v>0</v>
      </c>
      <c r="E37" t="s">
        <v>2</v>
      </c>
    </row>
    <row r="38" spans="1:7">
      <c r="A38" t="s">
        <v>68</v>
      </c>
      <c r="B38">
        <v>600</v>
      </c>
      <c r="C38" t="s">
        <v>69</v>
      </c>
      <c r="D38">
        <v>400</v>
      </c>
      <c r="E38" t="s">
        <v>2</v>
      </c>
    </row>
    <row r="39" spans="1:7">
      <c r="A39" t="s">
        <v>68</v>
      </c>
      <c r="B39">
        <v>-400</v>
      </c>
      <c r="C39" t="s">
        <v>69</v>
      </c>
      <c r="D39">
        <v>400</v>
      </c>
      <c r="E39" t="s">
        <v>2</v>
      </c>
    </row>
    <row r="40" spans="1:7">
      <c r="A40" t="s">
        <v>68</v>
      </c>
      <c r="B40">
        <v>-400</v>
      </c>
      <c r="C40" t="s">
        <v>69</v>
      </c>
      <c r="D40">
        <v>0</v>
      </c>
      <c r="E40" t="s">
        <v>2</v>
      </c>
    </row>
    <row r="41" spans="1:7">
      <c r="A41" t="s">
        <v>118</v>
      </c>
    </row>
    <row r="42" spans="1:7">
      <c r="A42" t="s">
        <v>106</v>
      </c>
    </row>
    <row r="43" spans="1:7">
      <c r="A43" t="s">
        <v>4</v>
      </c>
      <c r="B43" t="s">
        <v>5</v>
      </c>
      <c r="C43" t="s">
        <v>6</v>
      </c>
      <c r="D43">
        <f>I4*K4*1000</f>
        <v>1331200</v>
      </c>
      <c r="E43" t="s">
        <v>2</v>
      </c>
    </row>
    <row r="44" spans="1:7">
      <c r="A44" t="s">
        <v>0</v>
      </c>
      <c r="B44" t="s">
        <v>13</v>
      </c>
      <c r="C44">
        <f>I3/2+I5</f>
        <v>58</v>
      </c>
      <c r="D44" t="s">
        <v>1</v>
      </c>
      <c r="E44">
        <f>B7</f>
        <v>86</v>
      </c>
      <c r="F44" t="s">
        <v>2</v>
      </c>
    </row>
    <row r="45" spans="1:7">
      <c r="A45" t="s">
        <v>0</v>
      </c>
      <c r="B45" t="s">
        <v>13</v>
      </c>
      <c r="C45">
        <f>C44+I4</f>
        <v>122</v>
      </c>
      <c r="D45" t="s">
        <v>1</v>
      </c>
      <c r="E45">
        <f>E44</f>
        <v>86</v>
      </c>
      <c r="F45" t="s">
        <v>2</v>
      </c>
    </row>
    <row r="46" spans="1:7">
      <c r="A46" t="s">
        <v>0</v>
      </c>
      <c r="B46" t="s">
        <v>13</v>
      </c>
      <c r="C46">
        <f>C45</f>
        <v>122</v>
      </c>
      <c r="D46" t="s">
        <v>1</v>
      </c>
      <c r="E46">
        <f>E45+4</f>
        <v>90</v>
      </c>
      <c r="F46" t="s">
        <v>2</v>
      </c>
      <c r="G46" t="s">
        <v>121</v>
      </c>
    </row>
    <row r="47" spans="1:7">
      <c r="A47" t="s">
        <v>0</v>
      </c>
      <c r="B47" t="s">
        <v>13</v>
      </c>
      <c r="C47">
        <f>C44</f>
        <v>58</v>
      </c>
      <c r="D47" t="s">
        <v>1</v>
      </c>
      <c r="E47">
        <f>E46</f>
        <v>90</v>
      </c>
      <c r="F47" t="s">
        <v>2</v>
      </c>
    </row>
    <row r="48" spans="1:7">
      <c r="A48" t="s">
        <v>0</v>
      </c>
      <c r="B48" t="s">
        <v>13</v>
      </c>
      <c r="C48">
        <f>C44</f>
        <v>58</v>
      </c>
      <c r="D48" t="s">
        <v>1</v>
      </c>
      <c r="E48">
        <f>E44</f>
        <v>86</v>
      </c>
      <c r="F48" t="s">
        <v>2</v>
      </c>
    </row>
    <row r="49" spans="1:6">
      <c r="A49" t="s">
        <v>118</v>
      </c>
    </row>
    <row r="50" spans="1:6">
      <c r="A50" t="s">
        <v>116</v>
      </c>
    </row>
    <row r="51" spans="1:6">
      <c r="A51" t="s">
        <v>4</v>
      </c>
      <c r="B51" t="s">
        <v>5</v>
      </c>
      <c r="C51" t="s">
        <v>6</v>
      </c>
      <c r="D51">
        <f>I3*K3*1000</f>
        <v>1914000</v>
      </c>
      <c r="E51" t="s">
        <v>2</v>
      </c>
    </row>
    <row r="52" spans="1:6">
      <c r="A52" t="s">
        <v>0</v>
      </c>
      <c r="B52" t="s">
        <v>13</v>
      </c>
      <c r="C52">
        <f>-I3/2</f>
        <v>-58</v>
      </c>
      <c r="D52" t="s">
        <v>1</v>
      </c>
      <c r="E52">
        <f>E44</f>
        <v>86</v>
      </c>
      <c r="F52" t="s">
        <v>2</v>
      </c>
    </row>
    <row r="53" spans="1:6">
      <c r="A53" t="s">
        <v>0</v>
      </c>
      <c r="B53" t="s">
        <v>13</v>
      </c>
      <c r="C53">
        <f>I3/2</f>
        <v>58</v>
      </c>
      <c r="D53" t="s">
        <v>1</v>
      </c>
      <c r="E53">
        <f>E52</f>
        <v>86</v>
      </c>
      <c r="F53" t="s">
        <v>2</v>
      </c>
    </row>
    <row r="54" spans="1:6">
      <c r="A54" t="s">
        <v>0</v>
      </c>
      <c r="B54" t="s">
        <v>13</v>
      </c>
      <c r="C54">
        <f>C53</f>
        <v>58</v>
      </c>
      <c r="D54" t="s">
        <v>1</v>
      </c>
      <c r="E54">
        <f>E46</f>
        <v>90</v>
      </c>
      <c r="F54" t="s">
        <v>2</v>
      </c>
    </row>
    <row r="55" spans="1:6">
      <c r="A55" t="s">
        <v>0</v>
      </c>
      <c r="B55" t="s">
        <v>13</v>
      </c>
      <c r="C55">
        <f>C52</f>
        <v>-58</v>
      </c>
      <c r="D55" t="s">
        <v>1</v>
      </c>
      <c r="E55">
        <f>E54</f>
        <v>90</v>
      </c>
      <c r="F55" t="s">
        <v>2</v>
      </c>
    </row>
    <row r="56" spans="1:6">
      <c r="A56" t="s">
        <v>0</v>
      </c>
      <c r="B56" t="s">
        <v>13</v>
      </c>
      <c r="C56">
        <f>C52</f>
        <v>-58</v>
      </c>
      <c r="D56" t="s">
        <v>1</v>
      </c>
      <c r="E56">
        <f>E52</f>
        <v>86</v>
      </c>
      <c r="F56" t="s">
        <v>2</v>
      </c>
    </row>
    <row r="57" spans="1:6">
      <c r="A57" t="s">
        <v>118</v>
      </c>
    </row>
    <row r="58" spans="1:6">
      <c r="A58" t="s">
        <v>115</v>
      </c>
    </row>
    <row r="59" spans="1:6">
      <c r="A59" t="s">
        <v>4</v>
      </c>
      <c r="B59" t="s">
        <v>5</v>
      </c>
      <c r="C59" t="s">
        <v>6</v>
      </c>
      <c r="D59">
        <f>I2*K2*1000</f>
        <v>1331200</v>
      </c>
      <c r="E59" t="s">
        <v>2</v>
      </c>
    </row>
    <row r="60" spans="1:6">
      <c r="A60" t="s">
        <v>0</v>
      </c>
      <c r="B60" t="s">
        <v>13</v>
      </c>
      <c r="C60">
        <f>-C44</f>
        <v>-58</v>
      </c>
      <c r="D60" t="s">
        <v>1</v>
      </c>
      <c r="E60">
        <f>E44</f>
        <v>86</v>
      </c>
      <c r="F60" t="s">
        <v>2</v>
      </c>
    </row>
    <row r="61" spans="1:6">
      <c r="A61" t="s">
        <v>0</v>
      </c>
      <c r="B61" t="s">
        <v>13</v>
      </c>
      <c r="C61">
        <f>-C45</f>
        <v>-122</v>
      </c>
      <c r="D61" t="s">
        <v>1</v>
      </c>
      <c r="E61">
        <f>E60</f>
        <v>86</v>
      </c>
      <c r="F61" t="s">
        <v>2</v>
      </c>
    </row>
    <row r="62" spans="1:6">
      <c r="A62" t="s">
        <v>0</v>
      </c>
      <c r="B62" t="s">
        <v>13</v>
      </c>
      <c r="C62">
        <f>C61</f>
        <v>-122</v>
      </c>
      <c r="D62" t="s">
        <v>1</v>
      </c>
      <c r="E62">
        <f>E46</f>
        <v>90</v>
      </c>
      <c r="F62" t="s">
        <v>2</v>
      </c>
    </row>
    <row r="63" spans="1:6">
      <c r="A63" t="s">
        <v>0</v>
      </c>
      <c r="B63" t="s">
        <v>13</v>
      </c>
      <c r="C63">
        <f>C60</f>
        <v>-58</v>
      </c>
      <c r="D63" t="s">
        <v>1</v>
      </c>
      <c r="E63">
        <f>E62</f>
        <v>90</v>
      </c>
      <c r="F63" t="s">
        <v>2</v>
      </c>
    </row>
    <row r="64" spans="1:6">
      <c r="A64" t="s">
        <v>0</v>
      </c>
      <c r="B64" t="s">
        <v>13</v>
      </c>
      <c r="C64">
        <f>C60</f>
        <v>-58</v>
      </c>
      <c r="D64" t="s">
        <v>1</v>
      </c>
      <c r="E64">
        <f>E60</f>
        <v>86</v>
      </c>
      <c r="F64" t="s">
        <v>2</v>
      </c>
    </row>
    <row r="65" spans="1:8">
      <c r="A65" t="s">
        <v>118</v>
      </c>
    </row>
    <row r="66" spans="1:8">
      <c r="A66" t="s">
        <v>15</v>
      </c>
    </row>
    <row r="67" spans="1:8">
      <c r="A67" t="s">
        <v>16</v>
      </c>
      <c r="B67" t="s">
        <v>17</v>
      </c>
      <c r="C67" t="s">
        <v>2</v>
      </c>
    </row>
    <row r="68" spans="1:8">
      <c r="A68" t="s">
        <v>0</v>
      </c>
      <c r="B68" t="s">
        <v>13</v>
      </c>
      <c r="C68">
        <f>-B6-50</f>
        <v>-172</v>
      </c>
      <c r="D68" t="s">
        <v>1</v>
      </c>
      <c r="E68">
        <f>B8+H68</f>
        <v>96</v>
      </c>
      <c r="F68" t="s">
        <v>2</v>
      </c>
      <c r="G68" t="s">
        <v>122</v>
      </c>
      <c r="H68">
        <v>6</v>
      </c>
    </row>
    <row r="69" spans="1:8">
      <c r="A69" t="s">
        <v>0</v>
      </c>
      <c r="B69" t="s">
        <v>13</v>
      </c>
      <c r="C69">
        <f>B6+H69</f>
        <v>132</v>
      </c>
      <c r="D69" t="s">
        <v>1</v>
      </c>
      <c r="E69">
        <f>E68</f>
        <v>96</v>
      </c>
      <c r="F69" t="s">
        <v>2</v>
      </c>
      <c r="G69" t="s">
        <v>123</v>
      </c>
      <c r="H69">
        <v>10</v>
      </c>
    </row>
    <row r="70" spans="1:8">
      <c r="A70" t="s">
        <v>0</v>
      </c>
      <c r="B70" t="s">
        <v>13</v>
      </c>
      <c r="C70">
        <f>C69</f>
        <v>132</v>
      </c>
      <c r="D70" t="s">
        <v>1</v>
      </c>
      <c r="E70">
        <f>E68+50</f>
        <v>146</v>
      </c>
      <c r="F70" t="s">
        <v>2</v>
      </c>
    </row>
    <row r="71" spans="1:8">
      <c r="A71" t="s">
        <v>0</v>
      </c>
      <c r="B71" t="s">
        <v>13</v>
      </c>
      <c r="C71">
        <f>C68</f>
        <v>-172</v>
      </c>
      <c r="D71" t="s">
        <v>1</v>
      </c>
      <c r="E71">
        <f>E70</f>
        <v>146</v>
      </c>
      <c r="F71" t="s">
        <v>2</v>
      </c>
    </row>
    <row r="72" spans="1:8">
      <c r="A72" t="s">
        <v>0</v>
      </c>
      <c r="B72" t="s">
        <v>13</v>
      </c>
      <c r="C72">
        <f>C68</f>
        <v>-172</v>
      </c>
      <c r="D72" t="s">
        <v>1</v>
      </c>
      <c r="E72">
        <f>E68</f>
        <v>96</v>
      </c>
      <c r="F72" t="s">
        <v>2</v>
      </c>
    </row>
    <row r="73" spans="1:8">
      <c r="A73" t="s">
        <v>118</v>
      </c>
    </row>
    <row r="74" spans="1:8">
      <c r="A74" t="s">
        <v>39</v>
      </c>
    </row>
    <row r="75" spans="1:8">
      <c r="A75" t="s">
        <v>16</v>
      </c>
      <c r="B75" t="s">
        <v>17</v>
      </c>
      <c r="C75" t="s">
        <v>2</v>
      </c>
    </row>
    <row r="76" spans="1:8">
      <c r="A76" t="s">
        <v>0</v>
      </c>
      <c r="B76" t="s">
        <v>13</v>
      </c>
      <c r="C76">
        <f>C69</f>
        <v>132</v>
      </c>
      <c r="D76" t="s">
        <v>1</v>
      </c>
      <c r="E76">
        <f>E44/C45*(C102+40)</f>
        <v>209.36065573770492</v>
      </c>
      <c r="F76" t="s">
        <v>2</v>
      </c>
    </row>
    <row r="77" spans="1:8">
      <c r="A77" t="s">
        <v>0</v>
      </c>
      <c r="B77" t="s">
        <v>13</v>
      </c>
      <c r="C77">
        <f>C76+15</f>
        <v>147</v>
      </c>
      <c r="D77" t="s">
        <v>1</v>
      </c>
      <c r="E77">
        <f>E76</f>
        <v>209.36065573770492</v>
      </c>
      <c r="F77" t="s">
        <v>2</v>
      </c>
      <c r="G77" t="s">
        <v>117</v>
      </c>
    </row>
    <row r="78" spans="1:8">
      <c r="A78" t="s">
        <v>0</v>
      </c>
      <c r="B78" t="s">
        <v>13</v>
      </c>
      <c r="C78">
        <f>C77</f>
        <v>147</v>
      </c>
      <c r="D78" t="s">
        <v>1</v>
      </c>
      <c r="E78">
        <f>E44</f>
        <v>86</v>
      </c>
      <c r="F78" t="s">
        <v>2</v>
      </c>
      <c r="G78" t="s">
        <v>117</v>
      </c>
      <c r="H78">
        <f>ATAN2(C78-E4,E78)*180/3.1416927</f>
        <v>30.328120219902072</v>
      </c>
    </row>
    <row r="79" spans="1:8">
      <c r="A79" t="s">
        <v>0</v>
      </c>
      <c r="B79" t="s">
        <v>13</v>
      </c>
      <c r="C79">
        <f>C76</f>
        <v>132</v>
      </c>
      <c r="D79" t="s">
        <v>1</v>
      </c>
      <c r="E79">
        <f>E78</f>
        <v>86</v>
      </c>
      <c r="F79" t="s">
        <v>2</v>
      </c>
    </row>
    <row r="80" spans="1:8">
      <c r="A80" t="s">
        <v>0</v>
      </c>
      <c r="B80" t="s">
        <v>13</v>
      </c>
      <c r="C80">
        <f>C76</f>
        <v>132</v>
      </c>
      <c r="D80" t="s">
        <v>1</v>
      </c>
      <c r="E80">
        <f>E76</f>
        <v>209.36065573770492</v>
      </c>
      <c r="F80" t="s">
        <v>2</v>
      </c>
    </row>
    <row r="81" spans="1:6">
      <c r="A81" t="s">
        <v>118</v>
      </c>
    </row>
    <row r="82" spans="1:6">
      <c r="A82" t="s">
        <v>37</v>
      </c>
    </row>
    <row r="83" spans="1:6">
      <c r="A83" t="s">
        <v>16</v>
      </c>
      <c r="B83" t="s">
        <v>17</v>
      </c>
      <c r="C83" t="s">
        <v>2</v>
      </c>
    </row>
    <row r="84" spans="1:6">
      <c r="A84" t="s">
        <v>0</v>
      </c>
      <c r="B84" t="s">
        <v>13</v>
      </c>
      <c r="C84">
        <f>C68</f>
        <v>-172</v>
      </c>
      <c r="D84" t="s">
        <v>1</v>
      </c>
      <c r="E84">
        <v>20</v>
      </c>
      <c r="F84" t="s">
        <v>2</v>
      </c>
    </row>
    <row r="85" spans="1:6">
      <c r="A85" t="s">
        <v>0</v>
      </c>
      <c r="B85" t="s">
        <v>13</v>
      </c>
      <c r="C85">
        <f>C84</f>
        <v>-172</v>
      </c>
      <c r="D85" t="s">
        <v>1</v>
      </c>
      <c r="E85">
        <f>E68</f>
        <v>96</v>
      </c>
      <c r="F85" t="s">
        <v>2</v>
      </c>
    </row>
    <row r="86" spans="1:6">
      <c r="A86" t="s">
        <v>0</v>
      </c>
      <c r="B86" t="s">
        <v>13</v>
      </c>
      <c r="C86">
        <f>-B6-10</f>
        <v>-132</v>
      </c>
      <c r="D86" t="s">
        <v>1</v>
      </c>
      <c r="E86">
        <f>E85</f>
        <v>96</v>
      </c>
      <c r="F86" t="s">
        <v>2</v>
      </c>
    </row>
    <row r="87" spans="1:6">
      <c r="A87" t="s">
        <v>0</v>
      </c>
      <c r="B87" t="s">
        <v>13</v>
      </c>
      <c r="C87">
        <f>C86</f>
        <v>-132</v>
      </c>
      <c r="D87" t="s">
        <v>1</v>
      </c>
      <c r="E87">
        <f>E84</f>
        <v>20</v>
      </c>
      <c r="F87" t="s">
        <v>2</v>
      </c>
    </row>
    <row r="88" spans="1:6">
      <c r="A88" t="s">
        <v>0</v>
      </c>
      <c r="B88" t="s">
        <v>13</v>
      </c>
      <c r="C88">
        <f>C84</f>
        <v>-172</v>
      </c>
      <c r="D88" t="s">
        <v>1</v>
      </c>
      <c r="E88">
        <f>E84</f>
        <v>20</v>
      </c>
      <c r="F88" t="s">
        <v>2</v>
      </c>
    </row>
    <row r="89" spans="1:6">
      <c r="A89" t="s">
        <v>118</v>
      </c>
    </row>
    <row r="90" spans="1:6">
      <c r="A90" t="s">
        <v>36</v>
      </c>
    </row>
    <row r="91" spans="1:6">
      <c r="A91" t="s">
        <v>16</v>
      </c>
      <c r="B91" t="s">
        <v>17</v>
      </c>
      <c r="C91" t="s">
        <v>2</v>
      </c>
    </row>
    <row r="92" spans="1:6">
      <c r="A92" t="s">
        <v>0</v>
      </c>
      <c r="B92" t="s">
        <v>13</v>
      </c>
      <c r="C92">
        <f>C77</f>
        <v>147</v>
      </c>
      <c r="D92" t="s">
        <v>1</v>
      </c>
      <c r="E92">
        <f>E76</f>
        <v>209.36065573770492</v>
      </c>
      <c r="F92" t="s">
        <v>2</v>
      </c>
    </row>
    <row r="93" spans="1:6">
      <c r="A93" t="s">
        <v>0</v>
      </c>
      <c r="B93" t="s">
        <v>13</v>
      </c>
      <c r="C93">
        <f>C92+110</f>
        <v>257</v>
      </c>
      <c r="D93" t="s">
        <v>1</v>
      </c>
      <c r="E93">
        <f>E92</f>
        <v>209.36065573770492</v>
      </c>
      <c r="F93" t="s">
        <v>2</v>
      </c>
    </row>
    <row r="94" spans="1:6">
      <c r="A94" t="s">
        <v>0</v>
      </c>
      <c r="B94" t="s">
        <v>13</v>
      </c>
      <c r="C94">
        <f>C93</f>
        <v>257</v>
      </c>
      <c r="D94" t="s">
        <v>1</v>
      </c>
      <c r="E94">
        <f>E93-25</f>
        <v>184.36065573770492</v>
      </c>
      <c r="F94" t="s">
        <v>2</v>
      </c>
    </row>
    <row r="95" spans="1:6">
      <c r="A95" t="s">
        <v>0</v>
      </c>
      <c r="B95" t="s">
        <v>13</v>
      </c>
      <c r="C95">
        <f>C92</f>
        <v>147</v>
      </c>
      <c r="D95" t="s">
        <v>1</v>
      </c>
      <c r="E95">
        <f>E94</f>
        <v>184.36065573770492</v>
      </c>
      <c r="F95" t="s">
        <v>2</v>
      </c>
    </row>
    <row r="96" spans="1:6">
      <c r="A96" t="s">
        <v>0</v>
      </c>
      <c r="B96" t="s">
        <v>13</v>
      </c>
      <c r="C96">
        <f>C92</f>
        <v>147</v>
      </c>
      <c r="D96" t="s">
        <v>1</v>
      </c>
      <c r="E96">
        <f>E92</f>
        <v>209.36065573770492</v>
      </c>
      <c r="F96" t="s">
        <v>2</v>
      </c>
    </row>
    <row r="97" spans="1:6">
      <c r="A97" t="s">
        <v>118</v>
      </c>
    </row>
    <row r="98" spans="1:6">
      <c r="A98" t="s">
        <v>38</v>
      </c>
    </row>
    <row r="99" spans="1:6">
      <c r="A99" t="s">
        <v>16</v>
      </c>
      <c r="B99" t="s">
        <v>17</v>
      </c>
      <c r="C99" t="s">
        <v>2</v>
      </c>
    </row>
    <row r="100" spans="1:6">
      <c r="A100" t="s">
        <v>0</v>
      </c>
      <c r="B100" t="s">
        <v>13</v>
      </c>
      <c r="C100">
        <f>C101</f>
        <v>307</v>
      </c>
      <c r="D100" t="s">
        <v>1</v>
      </c>
      <c r="E100">
        <v>20</v>
      </c>
      <c r="F100" t="s">
        <v>2</v>
      </c>
    </row>
    <row r="101" spans="1:6">
      <c r="A101" t="s">
        <v>0</v>
      </c>
      <c r="B101" t="s">
        <v>13</v>
      </c>
      <c r="C101">
        <f>C102+50</f>
        <v>307</v>
      </c>
      <c r="D101" t="s">
        <v>1</v>
      </c>
      <c r="E101">
        <f>E92</f>
        <v>209.36065573770492</v>
      </c>
      <c r="F101" t="s">
        <v>2</v>
      </c>
    </row>
    <row r="102" spans="1:6">
      <c r="A102" t="s">
        <v>0</v>
      </c>
      <c r="B102" t="s">
        <v>13</v>
      </c>
      <c r="C102">
        <f>C93</f>
        <v>257</v>
      </c>
      <c r="D102" t="s">
        <v>1</v>
      </c>
      <c r="E102">
        <f>E101</f>
        <v>209.36065573770492</v>
      </c>
      <c r="F102" t="s">
        <v>2</v>
      </c>
    </row>
    <row r="103" spans="1:6">
      <c r="A103" t="s">
        <v>0</v>
      </c>
      <c r="B103" t="s">
        <v>13</v>
      </c>
      <c r="C103">
        <f>C102</f>
        <v>257</v>
      </c>
      <c r="D103" t="s">
        <v>1</v>
      </c>
      <c r="E103">
        <f>(C103-$E$4)*TAN($E$3*3.1515927/180)</f>
        <v>70.542098632912868</v>
      </c>
      <c r="F103" t="s">
        <v>2</v>
      </c>
    </row>
    <row r="104" spans="1:6">
      <c r="A104" t="s">
        <v>0</v>
      </c>
      <c r="B104" t="s">
        <v>13</v>
      </c>
      <c r="C104">
        <f>C77</f>
        <v>147</v>
      </c>
      <c r="D104" t="s">
        <v>1</v>
      </c>
      <c r="E104">
        <f>(C104-$E$4)*TAN($E$3*3.1515927/180)</f>
        <v>40.348982486529934</v>
      </c>
      <c r="F104" t="s">
        <v>2</v>
      </c>
    </row>
    <row r="105" spans="1:6">
      <c r="A105" t="s">
        <v>0</v>
      </c>
      <c r="B105" t="s">
        <v>13</v>
      </c>
      <c r="C105">
        <f>C104</f>
        <v>147</v>
      </c>
      <c r="D105" t="s">
        <v>1</v>
      </c>
      <c r="E105">
        <f>E100</f>
        <v>20</v>
      </c>
      <c r="F105" t="s">
        <v>2</v>
      </c>
    </row>
    <row r="106" spans="1:6">
      <c r="A106" t="s">
        <v>0</v>
      </c>
      <c r="B106" t="s">
        <v>13</v>
      </c>
      <c r="C106">
        <f>C101</f>
        <v>307</v>
      </c>
      <c r="D106" t="s">
        <v>1</v>
      </c>
      <c r="E106">
        <f>E100</f>
        <v>20</v>
      </c>
      <c r="F106" t="s">
        <v>2</v>
      </c>
    </row>
    <row r="107" spans="1:6">
      <c r="A107" t="s">
        <v>118</v>
      </c>
    </row>
    <row r="108" spans="1:6">
      <c r="A108" t="s">
        <v>73</v>
      </c>
    </row>
    <row r="109" spans="1:6">
      <c r="A109" t="s">
        <v>16</v>
      </c>
      <c r="B109" t="s">
        <v>17</v>
      </c>
      <c r="C109" t="s">
        <v>2</v>
      </c>
    </row>
    <row r="110" spans="1:6">
      <c r="A110" t="s">
        <v>0</v>
      </c>
      <c r="B110" t="s">
        <v>13</v>
      </c>
      <c r="C110">
        <f>C69</f>
        <v>132</v>
      </c>
      <c r="D110" t="s">
        <v>1</v>
      </c>
      <c r="E110">
        <f>E76</f>
        <v>209.36065573770492</v>
      </c>
      <c r="F110" t="s">
        <v>2</v>
      </c>
    </row>
    <row r="111" spans="1:6">
      <c r="A111" t="s">
        <v>0</v>
      </c>
      <c r="B111" t="s">
        <v>13</v>
      </c>
      <c r="C111">
        <f>C110-80</f>
        <v>52</v>
      </c>
      <c r="D111" t="s">
        <v>1</v>
      </c>
      <c r="E111">
        <f>E70</f>
        <v>146</v>
      </c>
      <c r="F111" t="s">
        <v>2</v>
      </c>
    </row>
    <row r="112" spans="1:6">
      <c r="A112" t="s">
        <v>0</v>
      </c>
      <c r="B112" t="s">
        <v>13</v>
      </c>
      <c r="C112">
        <f>C110</f>
        <v>132</v>
      </c>
      <c r="D112" t="s">
        <v>1</v>
      </c>
      <c r="E112">
        <f>E111</f>
        <v>146</v>
      </c>
      <c r="F112" t="s">
        <v>2</v>
      </c>
    </row>
    <row r="113" spans="1:6">
      <c r="A113" t="s">
        <v>0</v>
      </c>
      <c r="B113" t="s">
        <v>13</v>
      </c>
      <c r="C113">
        <f>C110</f>
        <v>132</v>
      </c>
      <c r="D113" t="s">
        <v>1</v>
      </c>
      <c r="E113">
        <f>E110</f>
        <v>209.36065573770492</v>
      </c>
      <c r="F113" t="s">
        <v>2</v>
      </c>
    </row>
  </sheetData>
  <mergeCells count="1">
    <mergeCell ref="H1:J1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18" zoomScale="150" zoomScaleNormal="150" zoomScalePageLayoutView="150" workbookViewId="0">
      <selection activeCell="D127" activeCellId="1" sqref="B127:B131 D127:D131"/>
    </sheetView>
  </sheetViews>
  <sheetFormatPr baseColWidth="10" defaultColWidth="8.83203125" defaultRowHeight="12" x14ac:dyDescent="0"/>
  <cols>
    <col min="1" max="16384" width="8.83203125" style="1"/>
  </cols>
  <sheetData>
    <row r="1" spans="1:6">
      <c r="A1" s="1" t="s">
        <v>74</v>
      </c>
    </row>
    <row r="3" spans="1:6">
      <c r="A3" s="1" t="s">
        <v>55</v>
      </c>
      <c r="B3" s="1">
        <v>0</v>
      </c>
      <c r="C3" s="1" t="s">
        <v>56</v>
      </c>
      <c r="F3" s="1" t="s">
        <v>57</v>
      </c>
    </row>
    <row r="4" spans="1:6">
      <c r="A4" s="1" t="s">
        <v>58</v>
      </c>
      <c r="B4" s="1">
        <v>-1</v>
      </c>
      <c r="F4" s="1" t="s">
        <v>59</v>
      </c>
    </row>
    <row r="5" spans="1:6">
      <c r="A5" s="1" t="s">
        <v>45</v>
      </c>
      <c r="B5" s="1">
        <v>0</v>
      </c>
      <c r="F5" s="1" t="s">
        <v>60</v>
      </c>
    </row>
    <row r="6" spans="1:6">
      <c r="A6" s="1" t="s">
        <v>49</v>
      </c>
      <c r="B6" s="1">
        <v>1</v>
      </c>
      <c r="C6" s="1" t="s">
        <v>61</v>
      </c>
      <c r="F6" s="1" t="s">
        <v>62</v>
      </c>
    </row>
    <row r="7" spans="1:6">
      <c r="A7" s="1" t="s">
        <v>47</v>
      </c>
      <c r="B7" s="1">
        <v>0.05</v>
      </c>
      <c r="C7" s="1" t="s">
        <v>75</v>
      </c>
      <c r="D7" s="1">
        <v>0.05</v>
      </c>
      <c r="E7" s="1" t="s">
        <v>76</v>
      </c>
      <c r="F7" s="1" t="s">
        <v>77</v>
      </c>
    </row>
    <row r="8" spans="1:6">
      <c r="A8" s="1" t="s">
        <v>63</v>
      </c>
      <c r="B8" s="1">
        <v>8.0000000000000002E-3</v>
      </c>
      <c r="C8" s="1" t="s">
        <v>46</v>
      </c>
    </row>
    <row r="9" spans="1:6">
      <c r="A9" s="1" t="s">
        <v>51</v>
      </c>
      <c r="B9" s="1">
        <v>0</v>
      </c>
      <c r="C9" s="1" t="s">
        <v>78</v>
      </c>
      <c r="F9" s="1" t="s">
        <v>79</v>
      </c>
    </row>
    <row r="10" spans="1:6">
      <c r="A10" s="1" t="s">
        <v>52</v>
      </c>
      <c r="B10" s="1">
        <v>0</v>
      </c>
      <c r="C10" s="1" t="s">
        <v>78</v>
      </c>
      <c r="F10" s="1" t="s">
        <v>80</v>
      </c>
    </row>
    <row r="11" spans="1:6">
      <c r="A11" s="1" t="s">
        <v>53</v>
      </c>
      <c r="B11" s="1">
        <v>0</v>
      </c>
      <c r="C11" s="1" t="s">
        <v>78</v>
      </c>
      <c r="F11" s="1" t="s">
        <v>81</v>
      </c>
    </row>
    <row r="12" spans="1:6">
      <c r="A12" s="1" t="s">
        <v>50</v>
      </c>
      <c r="B12" s="1">
        <v>0</v>
      </c>
      <c r="C12" s="1" t="s">
        <v>78</v>
      </c>
      <c r="F12" s="1" t="s">
        <v>82</v>
      </c>
    </row>
    <row r="13" spans="1:6">
      <c r="A13" s="1" t="s">
        <v>18</v>
      </c>
    </row>
    <row r="14" spans="1:6">
      <c r="A14" s="1" t="s">
        <v>19</v>
      </c>
      <c r="B14" s="1">
        <v>20</v>
      </c>
      <c r="C14" s="1" t="s">
        <v>20</v>
      </c>
      <c r="D14" s="1">
        <v>10</v>
      </c>
    </row>
    <row r="15" spans="1:6">
      <c r="A15" s="1" t="s">
        <v>21</v>
      </c>
      <c r="B15" s="1">
        <v>130</v>
      </c>
      <c r="C15" s="1" t="s">
        <v>22</v>
      </c>
      <c r="D15" s="1">
        <v>100</v>
      </c>
    </row>
    <row r="16" spans="1:6">
      <c r="A16" s="1" t="s">
        <v>23</v>
      </c>
      <c r="B16" s="1">
        <v>300</v>
      </c>
      <c r="C16" s="1" t="s">
        <v>24</v>
      </c>
      <c r="D16" s="1">
        <v>360</v>
      </c>
    </row>
    <row r="17" spans="1:8">
      <c r="A17" s="1" t="s">
        <v>25</v>
      </c>
      <c r="B17" s="1">
        <v>400</v>
      </c>
    </row>
    <row r="18" spans="1:8">
      <c r="A18" s="1" t="s">
        <v>26</v>
      </c>
    </row>
    <row r="19" spans="1:8">
      <c r="A19" s="1" t="s">
        <v>27</v>
      </c>
      <c r="B19" s="1">
        <v>-295</v>
      </c>
      <c r="C19" s="1" t="s">
        <v>30</v>
      </c>
      <c r="D19" s="1">
        <v>60</v>
      </c>
    </row>
    <row r="20" spans="1:8">
      <c r="A20" s="1" t="s">
        <v>64</v>
      </c>
      <c r="B20" s="1">
        <v>-165</v>
      </c>
      <c r="C20" s="1" t="s">
        <v>31</v>
      </c>
      <c r="D20" s="1">
        <v>248</v>
      </c>
    </row>
    <row r="21" spans="1:8">
      <c r="A21" s="1" t="s">
        <v>28</v>
      </c>
      <c r="B21" s="1">
        <v>170</v>
      </c>
      <c r="C21" s="1" t="s">
        <v>32</v>
      </c>
      <c r="D21" s="1">
        <v>460</v>
      </c>
    </row>
    <row r="22" spans="1:8">
      <c r="A22" s="1" t="s">
        <v>29</v>
      </c>
      <c r="B22" s="1">
        <v>240</v>
      </c>
      <c r="C22" s="1" t="s">
        <v>33</v>
      </c>
      <c r="D22" s="1">
        <v>600</v>
      </c>
    </row>
    <row r="23" spans="1:8">
      <c r="A23" s="1" t="s">
        <v>65</v>
      </c>
      <c r="B23" s="1">
        <v>500</v>
      </c>
      <c r="C23" s="1" t="s">
        <v>66</v>
      </c>
      <c r="D23" s="1">
        <v>720</v>
      </c>
    </row>
    <row r="24" spans="1:8">
      <c r="A24" s="1" t="s">
        <v>67</v>
      </c>
      <c r="B24" s="1">
        <v>800</v>
      </c>
      <c r="C24" s="1" t="s">
        <v>2</v>
      </c>
    </row>
    <row r="26" spans="1:8">
      <c r="A26" s="1" t="s">
        <v>68</v>
      </c>
      <c r="B26" s="1">
        <v>-400</v>
      </c>
      <c r="C26" s="1" t="s">
        <v>69</v>
      </c>
      <c r="D26" s="1">
        <v>0</v>
      </c>
      <c r="E26" s="1" t="s">
        <v>70</v>
      </c>
      <c r="F26" s="1" t="s">
        <v>71</v>
      </c>
    </row>
    <row r="27" spans="1:8">
      <c r="A27" s="1" t="s">
        <v>68</v>
      </c>
      <c r="B27" s="1">
        <v>600</v>
      </c>
      <c r="C27" s="1" t="s">
        <v>69</v>
      </c>
      <c r="D27" s="1">
        <v>0</v>
      </c>
      <c r="E27" s="1" t="s">
        <v>2</v>
      </c>
    </row>
    <row r="28" spans="1:8">
      <c r="A28" s="1" t="s">
        <v>68</v>
      </c>
      <c r="B28" s="1">
        <v>600</v>
      </c>
      <c r="C28" s="1" t="s">
        <v>69</v>
      </c>
      <c r="D28" s="1">
        <v>400</v>
      </c>
      <c r="E28" s="1" t="s">
        <v>2</v>
      </c>
    </row>
    <row r="29" spans="1:8">
      <c r="A29" s="1" t="s">
        <v>68</v>
      </c>
      <c r="B29" s="1">
        <v>-400</v>
      </c>
      <c r="C29" s="1" t="s">
        <v>69</v>
      </c>
      <c r="D29" s="1">
        <v>400</v>
      </c>
      <c r="E29" s="1" t="s">
        <v>2</v>
      </c>
    </row>
    <row r="30" spans="1:8">
      <c r="A30" s="1" t="s">
        <v>68</v>
      </c>
      <c r="B30" s="1">
        <v>-400</v>
      </c>
      <c r="C30" s="1" t="s">
        <v>69</v>
      </c>
      <c r="D30" s="1">
        <v>0</v>
      </c>
      <c r="E30" s="1" t="s">
        <v>2</v>
      </c>
    </row>
    <row r="32" spans="1:8">
      <c r="A32" s="1" t="s">
        <v>83</v>
      </c>
      <c r="B32" s="1">
        <v>140</v>
      </c>
      <c r="C32" s="1" t="s">
        <v>84</v>
      </c>
      <c r="D32" s="1" t="s">
        <v>85</v>
      </c>
      <c r="E32" s="1">
        <v>173</v>
      </c>
      <c r="F32" s="1" t="s">
        <v>84</v>
      </c>
      <c r="G32" s="1" t="s">
        <v>86</v>
      </c>
      <c r="H32" s="1">
        <v>385</v>
      </c>
    </row>
    <row r="33" spans="1:6">
      <c r="A33" s="1" t="s">
        <v>87</v>
      </c>
      <c r="B33" s="1">
        <v>149.85</v>
      </c>
      <c r="C33" s="1" t="s">
        <v>84</v>
      </c>
      <c r="D33" s="1" t="s">
        <v>88</v>
      </c>
      <c r="E33" s="1">
        <v>3455</v>
      </c>
      <c r="F33" s="1" t="s">
        <v>89</v>
      </c>
    </row>
    <row r="34" spans="1:6">
      <c r="A34" s="1" t="s">
        <v>90</v>
      </c>
      <c r="B34" s="1">
        <v>1</v>
      </c>
      <c r="C34" s="1" t="s">
        <v>91</v>
      </c>
      <c r="D34" s="1">
        <v>1706400</v>
      </c>
      <c r="E34" s="1" t="s">
        <v>92</v>
      </c>
      <c r="F34" s="1" t="s">
        <v>93</v>
      </c>
    </row>
    <row r="35" spans="1:6">
      <c r="A35" s="1" t="s">
        <v>68</v>
      </c>
      <c r="B35" s="1">
        <v>-86.399999999999977</v>
      </c>
      <c r="C35" s="1" t="s">
        <v>69</v>
      </c>
      <c r="D35" s="1">
        <v>152</v>
      </c>
      <c r="E35" s="1" t="s">
        <v>2</v>
      </c>
    </row>
    <row r="36" spans="1:6">
      <c r="A36" s="1" t="s">
        <v>68</v>
      </c>
      <c r="B36" s="1">
        <v>86.399999999999977</v>
      </c>
      <c r="C36" s="1" t="s">
        <v>69</v>
      </c>
      <c r="D36" s="1">
        <v>152</v>
      </c>
      <c r="E36" s="1" t="s">
        <v>2</v>
      </c>
    </row>
    <row r="37" spans="1:6">
      <c r="A37" s="1" t="s">
        <v>68</v>
      </c>
      <c r="B37" s="1">
        <v>86.399999999999977</v>
      </c>
      <c r="C37" s="1" t="s">
        <v>69</v>
      </c>
      <c r="D37" s="1">
        <v>154</v>
      </c>
      <c r="E37" s="1" t="s">
        <v>2</v>
      </c>
    </row>
    <row r="38" spans="1:6">
      <c r="A38" s="1" t="s">
        <v>68</v>
      </c>
      <c r="B38" s="1">
        <v>-86.399999999999977</v>
      </c>
      <c r="C38" s="1" t="s">
        <v>69</v>
      </c>
      <c r="D38" s="1">
        <v>154</v>
      </c>
      <c r="E38" s="1" t="s">
        <v>2</v>
      </c>
    </row>
    <row r="39" spans="1:6">
      <c r="A39" s="1" t="s">
        <v>68</v>
      </c>
      <c r="B39" s="1">
        <v>-86.399999999999977</v>
      </c>
      <c r="C39" s="1" t="s">
        <v>69</v>
      </c>
      <c r="D39" s="1">
        <v>152</v>
      </c>
      <c r="E39" s="1" t="s">
        <v>2</v>
      </c>
    </row>
    <row r="41" spans="1:6">
      <c r="A41" s="1" t="s">
        <v>90</v>
      </c>
      <c r="B41" s="1">
        <v>1</v>
      </c>
      <c r="C41" s="1" t="s">
        <v>91</v>
      </c>
      <c r="D41" s="1">
        <v>1706400</v>
      </c>
      <c r="E41" s="1" t="s">
        <v>92</v>
      </c>
      <c r="F41" s="1" t="s">
        <v>94</v>
      </c>
    </row>
    <row r="42" spans="1:6">
      <c r="A42" s="1" t="s">
        <v>68</v>
      </c>
      <c r="B42" s="1">
        <v>-172.8</v>
      </c>
      <c r="C42" s="1" t="s">
        <v>69</v>
      </c>
      <c r="D42" s="1">
        <v>152</v>
      </c>
      <c r="E42" s="1" t="s">
        <v>2</v>
      </c>
    </row>
    <row r="43" spans="1:6">
      <c r="A43" s="1" t="s">
        <v>68</v>
      </c>
      <c r="B43" s="1">
        <v>-86.399999999999977</v>
      </c>
      <c r="C43" s="1" t="s">
        <v>69</v>
      </c>
      <c r="D43" s="1">
        <v>152</v>
      </c>
      <c r="E43" s="1" t="s">
        <v>2</v>
      </c>
    </row>
    <row r="44" spans="1:6">
      <c r="A44" s="1" t="s">
        <v>68</v>
      </c>
      <c r="B44" s="1">
        <v>-86.399999999999977</v>
      </c>
      <c r="C44" s="1" t="s">
        <v>69</v>
      </c>
      <c r="D44" s="1">
        <v>154</v>
      </c>
      <c r="E44" s="1" t="s">
        <v>2</v>
      </c>
    </row>
    <row r="45" spans="1:6">
      <c r="A45" s="1" t="s">
        <v>68</v>
      </c>
      <c r="B45" s="1">
        <v>-172.8</v>
      </c>
      <c r="C45" s="1" t="s">
        <v>69</v>
      </c>
      <c r="D45" s="1">
        <v>154</v>
      </c>
      <c r="E45" s="1" t="s">
        <v>2</v>
      </c>
    </row>
    <row r="46" spans="1:6">
      <c r="A46" s="1" t="s">
        <v>68</v>
      </c>
      <c r="B46" s="1">
        <v>-172.8</v>
      </c>
      <c r="C46" s="1" t="s">
        <v>69</v>
      </c>
      <c r="D46" s="1">
        <v>152</v>
      </c>
      <c r="E46" s="1" t="s">
        <v>2</v>
      </c>
    </row>
    <row r="48" spans="1:6">
      <c r="A48" s="1" t="s">
        <v>90</v>
      </c>
      <c r="B48" s="1">
        <v>1</v>
      </c>
      <c r="C48" s="1" t="s">
        <v>91</v>
      </c>
      <c r="D48" s="1">
        <v>1706400</v>
      </c>
      <c r="E48" s="1" t="s">
        <v>92</v>
      </c>
      <c r="F48" s="1" t="s">
        <v>94</v>
      </c>
    </row>
    <row r="49" spans="1:6">
      <c r="A49" s="1" t="s">
        <v>68</v>
      </c>
      <c r="B49" s="1">
        <f>-B42</f>
        <v>172.8</v>
      </c>
      <c r="C49" s="1" t="s">
        <v>69</v>
      </c>
      <c r="D49" s="1">
        <v>152</v>
      </c>
      <c r="E49" s="1" t="s">
        <v>2</v>
      </c>
    </row>
    <row r="50" spans="1:6">
      <c r="A50" s="1" t="s">
        <v>68</v>
      </c>
      <c r="B50" s="1">
        <f>-B43</f>
        <v>86.399999999999977</v>
      </c>
      <c r="C50" s="1" t="s">
        <v>69</v>
      </c>
      <c r="D50" s="1">
        <v>152</v>
      </c>
      <c r="E50" s="1" t="s">
        <v>2</v>
      </c>
    </row>
    <row r="51" spans="1:6">
      <c r="A51" s="1" t="s">
        <v>68</v>
      </c>
      <c r="B51" s="1">
        <f>-B44</f>
        <v>86.399999999999977</v>
      </c>
      <c r="C51" s="1" t="s">
        <v>69</v>
      </c>
      <c r="D51" s="1">
        <v>154</v>
      </c>
      <c r="E51" s="1" t="s">
        <v>2</v>
      </c>
    </row>
    <row r="52" spans="1:6">
      <c r="A52" s="1" t="s">
        <v>68</v>
      </c>
      <c r="B52" s="1">
        <f>-B45</f>
        <v>172.8</v>
      </c>
      <c r="C52" s="1" t="s">
        <v>69</v>
      </c>
      <c r="D52" s="1">
        <v>154</v>
      </c>
      <c r="E52" s="1" t="s">
        <v>2</v>
      </c>
    </row>
    <row r="53" spans="1:6">
      <c r="A53" s="1" t="s">
        <v>68</v>
      </c>
      <c r="B53" s="1">
        <f>-B46</f>
        <v>172.8</v>
      </c>
      <c r="C53" s="1" t="s">
        <v>69</v>
      </c>
      <c r="D53" s="1">
        <v>152</v>
      </c>
      <c r="E53" s="1" t="s">
        <v>2</v>
      </c>
    </row>
    <row r="55" spans="1:6">
      <c r="A55" s="1" t="s">
        <v>95</v>
      </c>
    </row>
    <row r="56" spans="1:6">
      <c r="A56" s="1" t="s">
        <v>90</v>
      </c>
      <c r="B56" s="1">
        <v>2</v>
      </c>
      <c r="C56" s="1" t="s">
        <v>96</v>
      </c>
      <c r="D56" s="1" t="s">
        <v>97</v>
      </c>
      <c r="E56" s="1">
        <v>6</v>
      </c>
      <c r="F56" s="1" t="s">
        <v>98</v>
      </c>
    </row>
    <row r="57" spans="1:6">
      <c r="A57" s="1" t="s">
        <v>68</v>
      </c>
      <c r="B57" s="1">
        <v>-187.2</v>
      </c>
      <c r="C57" s="1" t="s">
        <v>69</v>
      </c>
      <c r="D57" s="1">
        <v>180</v>
      </c>
      <c r="E57" s="1" t="s">
        <v>2</v>
      </c>
    </row>
    <row r="58" spans="1:6">
      <c r="A58" s="1" t="s">
        <v>68</v>
      </c>
      <c r="B58" s="1">
        <f>-B57</f>
        <v>187.2</v>
      </c>
      <c r="C58" s="1" t="s">
        <v>69</v>
      </c>
      <c r="D58" s="1">
        <f>D57</f>
        <v>180</v>
      </c>
      <c r="E58" s="1" t="s">
        <v>2</v>
      </c>
    </row>
    <row r="59" spans="1:6">
      <c r="A59" s="1" t="s">
        <v>68</v>
      </c>
      <c r="B59" s="1">
        <f>-B57</f>
        <v>187.2</v>
      </c>
      <c r="C59" s="1" t="s">
        <v>69</v>
      </c>
      <c r="D59" s="1">
        <f>D57+E56</f>
        <v>186</v>
      </c>
      <c r="E59" s="1" t="s">
        <v>2</v>
      </c>
    </row>
    <row r="60" spans="1:6">
      <c r="A60" s="1" t="s">
        <v>68</v>
      </c>
      <c r="B60" s="1">
        <f>B57</f>
        <v>-187.2</v>
      </c>
      <c r="C60" s="1" t="s">
        <v>69</v>
      </c>
      <c r="D60" s="1">
        <f>D59</f>
        <v>186</v>
      </c>
      <c r="E60" s="1" t="s">
        <v>2</v>
      </c>
    </row>
    <row r="61" spans="1:6">
      <c r="A61" s="1" t="s">
        <v>68</v>
      </c>
      <c r="B61" s="1">
        <f>B57</f>
        <v>-187.2</v>
      </c>
      <c r="C61" s="1" t="s">
        <v>69</v>
      </c>
      <c r="D61" s="1">
        <f>D57</f>
        <v>180</v>
      </c>
      <c r="E61" s="1" t="s">
        <v>2</v>
      </c>
    </row>
    <row r="63" spans="1:6">
      <c r="A63" s="1" t="s">
        <v>90</v>
      </c>
      <c r="B63" s="1">
        <v>2</v>
      </c>
      <c r="C63" s="1" t="s">
        <v>96</v>
      </c>
      <c r="D63" s="1" t="s">
        <v>97</v>
      </c>
      <c r="E63" s="1">
        <v>4</v>
      </c>
      <c r="F63" s="1" t="s">
        <v>99</v>
      </c>
    </row>
    <row r="64" spans="1:6">
      <c r="A64" s="1" t="s">
        <v>68</v>
      </c>
      <c r="B64" s="1">
        <f>$B$57</f>
        <v>-187.2</v>
      </c>
      <c r="C64" s="1" t="s">
        <v>69</v>
      </c>
      <c r="D64" s="1">
        <v>195.6</v>
      </c>
      <c r="E64" s="1" t="s">
        <v>2</v>
      </c>
    </row>
    <row r="65" spans="1:6">
      <c r="A65" s="1" t="s">
        <v>68</v>
      </c>
      <c r="B65" s="1">
        <f>$B$58</f>
        <v>187.2</v>
      </c>
      <c r="C65" s="1" t="s">
        <v>69</v>
      </c>
      <c r="D65" s="1">
        <f>D64</f>
        <v>195.6</v>
      </c>
      <c r="E65" s="1" t="s">
        <v>2</v>
      </c>
    </row>
    <row r="66" spans="1:6">
      <c r="A66" s="1" t="s">
        <v>68</v>
      </c>
      <c r="B66" s="1">
        <f>$B$59</f>
        <v>187.2</v>
      </c>
      <c r="C66" s="1" t="s">
        <v>69</v>
      </c>
      <c r="D66" s="1">
        <f>D64+E63</f>
        <v>199.6</v>
      </c>
      <c r="E66" s="1" t="s">
        <v>2</v>
      </c>
    </row>
    <row r="67" spans="1:6">
      <c r="A67" s="1" t="s">
        <v>68</v>
      </c>
      <c r="B67" s="1">
        <f>$B$60</f>
        <v>-187.2</v>
      </c>
      <c r="C67" s="1" t="s">
        <v>69</v>
      </c>
      <c r="D67" s="1">
        <f>D66</f>
        <v>199.6</v>
      </c>
      <c r="E67" s="1" t="s">
        <v>2</v>
      </c>
    </row>
    <row r="68" spans="1:6">
      <c r="A68" s="1" t="s">
        <v>68</v>
      </c>
      <c r="B68" s="1">
        <f>$B$61</f>
        <v>-187.2</v>
      </c>
      <c r="C68" s="1" t="s">
        <v>69</v>
      </c>
      <c r="D68" s="1">
        <f>D64</f>
        <v>195.6</v>
      </c>
      <c r="E68" s="1" t="s">
        <v>2</v>
      </c>
    </row>
    <row r="70" spans="1:6">
      <c r="A70" s="1" t="s">
        <v>90</v>
      </c>
      <c r="B70" s="1">
        <v>2</v>
      </c>
      <c r="C70" s="1" t="s">
        <v>96</v>
      </c>
      <c r="D70" s="1" t="s">
        <v>97</v>
      </c>
      <c r="E70" s="1">
        <v>4</v>
      </c>
      <c r="F70" s="1" t="s">
        <v>99</v>
      </c>
    </row>
    <row r="71" spans="1:6">
      <c r="A71" s="1" t="s">
        <v>68</v>
      </c>
      <c r="B71" s="1">
        <f>$B$57</f>
        <v>-187.2</v>
      </c>
      <c r="C71" s="1" t="s">
        <v>69</v>
      </c>
      <c r="D71" s="1">
        <v>206</v>
      </c>
      <c r="E71" s="1" t="s">
        <v>2</v>
      </c>
    </row>
    <row r="72" spans="1:6">
      <c r="A72" s="1" t="s">
        <v>68</v>
      </c>
      <c r="B72" s="1">
        <f>$B$58</f>
        <v>187.2</v>
      </c>
      <c r="C72" s="1" t="s">
        <v>69</v>
      </c>
      <c r="D72" s="1">
        <f>D71</f>
        <v>206</v>
      </c>
      <c r="E72" s="1" t="s">
        <v>2</v>
      </c>
    </row>
    <row r="73" spans="1:6">
      <c r="A73" s="1" t="s">
        <v>68</v>
      </c>
      <c r="B73" s="1">
        <f>$B$59</f>
        <v>187.2</v>
      </c>
      <c r="C73" s="1" t="s">
        <v>69</v>
      </c>
      <c r="D73" s="1">
        <f>D71+E70</f>
        <v>210</v>
      </c>
      <c r="E73" s="1" t="s">
        <v>2</v>
      </c>
    </row>
    <row r="74" spans="1:6">
      <c r="A74" s="1" t="s">
        <v>68</v>
      </c>
      <c r="B74" s="1">
        <f>$B$60</f>
        <v>-187.2</v>
      </c>
      <c r="C74" s="1" t="s">
        <v>69</v>
      </c>
      <c r="D74" s="1">
        <f>D73</f>
        <v>210</v>
      </c>
      <c r="E74" s="1" t="s">
        <v>2</v>
      </c>
    </row>
    <row r="75" spans="1:6">
      <c r="A75" s="1" t="s">
        <v>68</v>
      </c>
      <c r="B75" s="1">
        <f>$B$61</f>
        <v>-187.2</v>
      </c>
      <c r="C75" s="1" t="s">
        <v>69</v>
      </c>
      <c r="D75" s="1">
        <f>D71</f>
        <v>206</v>
      </c>
      <c r="E75" s="1" t="s">
        <v>2</v>
      </c>
    </row>
    <row r="77" spans="1:6">
      <c r="A77" s="1" t="s">
        <v>90</v>
      </c>
      <c r="B77" s="1">
        <v>2</v>
      </c>
      <c r="C77" s="1" t="s">
        <v>96</v>
      </c>
      <c r="D77" s="1" t="s">
        <v>97</v>
      </c>
      <c r="E77" s="1">
        <v>4</v>
      </c>
      <c r="F77" s="1" t="s">
        <v>99</v>
      </c>
    </row>
    <row r="78" spans="1:6">
      <c r="A78" s="1" t="s">
        <v>68</v>
      </c>
      <c r="B78" s="1">
        <f>$B$57</f>
        <v>-187.2</v>
      </c>
      <c r="C78" s="1" t="s">
        <v>69</v>
      </c>
      <c r="D78" s="1">
        <v>216.4</v>
      </c>
      <c r="E78" s="1" t="s">
        <v>2</v>
      </c>
    </row>
    <row r="79" spans="1:6">
      <c r="A79" s="1" t="s">
        <v>68</v>
      </c>
      <c r="B79" s="1">
        <f>$B$58</f>
        <v>187.2</v>
      </c>
      <c r="C79" s="1" t="s">
        <v>69</v>
      </c>
      <c r="D79" s="1">
        <f>D78</f>
        <v>216.4</v>
      </c>
      <c r="E79" s="1" t="s">
        <v>2</v>
      </c>
    </row>
    <row r="80" spans="1:6">
      <c r="A80" s="1" t="s">
        <v>68</v>
      </c>
      <c r="B80" s="1">
        <f>$B$59</f>
        <v>187.2</v>
      </c>
      <c r="C80" s="1" t="s">
        <v>69</v>
      </c>
      <c r="D80" s="1">
        <f>D78+E77</f>
        <v>220.4</v>
      </c>
      <c r="E80" s="1" t="s">
        <v>2</v>
      </c>
    </row>
    <row r="81" spans="1:6">
      <c r="A81" s="1" t="s">
        <v>68</v>
      </c>
      <c r="B81" s="1">
        <f>$B$60</f>
        <v>-187.2</v>
      </c>
      <c r="C81" s="1" t="s">
        <v>69</v>
      </c>
      <c r="D81" s="1">
        <f>D80</f>
        <v>220.4</v>
      </c>
      <c r="E81" s="1" t="s">
        <v>2</v>
      </c>
    </row>
    <row r="82" spans="1:6">
      <c r="A82" s="1" t="s">
        <v>68</v>
      </c>
      <c r="B82" s="1">
        <f>$B$61</f>
        <v>-187.2</v>
      </c>
      <c r="C82" s="1" t="s">
        <v>69</v>
      </c>
      <c r="D82" s="1">
        <f>D78</f>
        <v>216.4</v>
      </c>
      <c r="E82" s="1" t="s">
        <v>2</v>
      </c>
    </row>
    <row r="84" spans="1:6">
      <c r="A84" s="1" t="s">
        <v>90</v>
      </c>
      <c r="B84" s="1">
        <v>2</v>
      </c>
      <c r="C84" s="1" t="s">
        <v>96</v>
      </c>
      <c r="D84" s="1" t="s">
        <v>97</v>
      </c>
      <c r="E84" s="1">
        <v>4</v>
      </c>
      <c r="F84" s="1" t="s">
        <v>99</v>
      </c>
    </row>
    <row r="85" spans="1:6">
      <c r="A85" s="1" t="s">
        <v>68</v>
      </c>
      <c r="B85" s="1">
        <f>$B$57</f>
        <v>-187.2</v>
      </c>
      <c r="C85" s="1" t="s">
        <v>69</v>
      </c>
      <c r="D85" s="1">
        <v>226.8</v>
      </c>
      <c r="E85" s="1" t="s">
        <v>2</v>
      </c>
    </row>
    <row r="86" spans="1:6">
      <c r="A86" s="1" t="s">
        <v>68</v>
      </c>
      <c r="B86" s="1">
        <f>$B$58</f>
        <v>187.2</v>
      </c>
      <c r="C86" s="1" t="s">
        <v>69</v>
      </c>
      <c r="D86" s="1">
        <f>D85</f>
        <v>226.8</v>
      </c>
      <c r="E86" s="1" t="s">
        <v>2</v>
      </c>
    </row>
    <row r="87" spans="1:6">
      <c r="A87" s="1" t="s">
        <v>68</v>
      </c>
      <c r="B87" s="1">
        <f>$B$59</f>
        <v>187.2</v>
      </c>
      <c r="C87" s="1" t="s">
        <v>69</v>
      </c>
      <c r="D87" s="1">
        <f>D85+E84</f>
        <v>230.8</v>
      </c>
      <c r="E87" s="1" t="s">
        <v>2</v>
      </c>
    </row>
    <row r="88" spans="1:6">
      <c r="A88" s="1" t="s">
        <v>68</v>
      </c>
      <c r="B88" s="1">
        <f>$B$60</f>
        <v>-187.2</v>
      </c>
      <c r="C88" s="1" t="s">
        <v>69</v>
      </c>
      <c r="D88" s="1">
        <f>D87</f>
        <v>230.8</v>
      </c>
      <c r="E88" s="1" t="s">
        <v>2</v>
      </c>
    </row>
    <row r="89" spans="1:6">
      <c r="A89" s="1" t="s">
        <v>68</v>
      </c>
      <c r="B89" s="1">
        <f>$B$61</f>
        <v>-187.2</v>
      </c>
      <c r="C89" s="1" t="s">
        <v>69</v>
      </c>
      <c r="D89" s="1">
        <f>D85</f>
        <v>226.8</v>
      </c>
      <c r="E89" s="1" t="s">
        <v>2</v>
      </c>
    </row>
    <row r="91" spans="1:6">
      <c r="A91" s="1" t="s">
        <v>90</v>
      </c>
      <c r="B91" s="1">
        <v>2</v>
      </c>
      <c r="C91" s="1" t="s">
        <v>96</v>
      </c>
      <c r="D91" s="1" t="s">
        <v>97</v>
      </c>
      <c r="E91" s="1">
        <v>9</v>
      </c>
      <c r="F91" s="1" t="s">
        <v>98</v>
      </c>
    </row>
    <row r="92" spans="1:6">
      <c r="A92" s="1" t="s">
        <v>68</v>
      </c>
      <c r="B92" s="1">
        <f>$B$57</f>
        <v>-187.2</v>
      </c>
      <c r="C92" s="1" t="s">
        <v>69</v>
      </c>
      <c r="D92" s="1">
        <v>237</v>
      </c>
      <c r="E92" s="1" t="s">
        <v>2</v>
      </c>
    </row>
    <row r="93" spans="1:6">
      <c r="A93" s="1" t="s">
        <v>68</v>
      </c>
      <c r="B93" s="1">
        <f>$B$58</f>
        <v>187.2</v>
      </c>
      <c r="C93" s="1" t="s">
        <v>69</v>
      </c>
      <c r="D93" s="1">
        <f>D92</f>
        <v>237</v>
      </c>
      <c r="E93" s="1" t="s">
        <v>2</v>
      </c>
    </row>
    <row r="94" spans="1:6">
      <c r="A94" s="1" t="s">
        <v>68</v>
      </c>
      <c r="B94" s="1">
        <f>$B$59</f>
        <v>187.2</v>
      </c>
      <c r="C94" s="1" t="s">
        <v>69</v>
      </c>
      <c r="D94" s="1">
        <f>D92+E91</f>
        <v>246</v>
      </c>
      <c r="E94" s="1" t="s">
        <v>2</v>
      </c>
    </row>
    <row r="95" spans="1:6">
      <c r="A95" s="1" t="s">
        <v>68</v>
      </c>
      <c r="B95" s="1">
        <f>$B$60</f>
        <v>-187.2</v>
      </c>
      <c r="C95" s="1" t="s">
        <v>69</v>
      </c>
      <c r="D95" s="1">
        <f>D94</f>
        <v>246</v>
      </c>
      <c r="E95" s="1" t="s">
        <v>2</v>
      </c>
    </row>
    <row r="96" spans="1:6">
      <c r="A96" s="1" t="s">
        <v>68</v>
      </c>
      <c r="B96" s="1">
        <f>$B$61</f>
        <v>-187.2</v>
      </c>
      <c r="C96" s="1" t="s">
        <v>69</v>
      </c>
      <c r="D96" s="1">
        <f>D92</f>
        <v>237</v>
      </c>
      <c r="E96" s="1" t="s">
        <v>2</v>
      </c>
    </row>
    <row r="98" spans="1:6">
      <c r="A98" s="1" t="s">
        <v>90</v>
      </c>
      <c r="B98" s="1">
        <v>2</v>
      </c>
      <c r="C98" s="1" t="s">
        <v>96</v>
      </c>
      <c r="D98" s="1" t="s">
        <v>97</v>
      </c>
      <c r="E98" s="1">
        <v>9</v>
      </c>
      <c r="F98" s="1" t="s">
        <v>98</v>
      </c>
    </row>
    <row r="99" spans="1:6">
      <c r="A99" s="1" t="s">
        <v>68</v>
      </c>
      <c r="B99" s="1">
        <f>$B$57</f>
        <v>-187.2</v>
      </c>
      <c r="C99" s="1" t="s">
        <v>69</v>
      </c>
      <c r="D99" s="1">
        <v>255.6</v>
      </c>
      <c r="E99" s="1" t="s">
        <v>2</v>
      </c>
    </row>
    <row r="100" spans="1:6">
      <c r="A100" s="1" t="s">
        <v>68</v>
      </c>
      <c r="B100" s="1">
        <f>$B$58</f>
        <v>187.2</v>
      </c>
      <c r="C100" s="1" t="s">
        <v>69</v>
      </c>
      <c r="D100" s="1">
        <f>D99</f>
        <v>255.6</v>
      </c>
      <c r="E100" s="1" t="s">
        <v>2</v>
      </c>
    </row>
    <row r="101" spans="1:6">
      <c r="A101" s="1" t="s">
        <v>68</v>
      </c>
      <c r="B101" s="1">
        <f>$B$59</f>
        <v>187.2</v>
      </c>
      <c r="C101" s="1" t="s">
        <v>69</v>
      </c>
      <c r="D101" s="1">
        <f>D99+E98</f>
        <v>264.60000000000002</v>
      </c>
      <c r="E101" s="1" t="s">
        <v>2</v>
      </c>
    </row>
    <row r="102" spans="1:6">
      <c r="A102" s="1" t="s">
        <v>68</v>
      </c>
      <c r="B102" s="1">
        <f>$B$60</f>
        <v>-187.2</v>
      </c>
      <c r="C102" s="1" t="s">
        <v>69</v>
      </c>
      <c r="D102" s="1">
        <f>D101</f>
        <v>264.60000000000002</v>
      </c>
      <c r="E102" s="1" t="s">
        <v>2</v>
      </c>
    </row>
    <row r="103" spans="1:6">
      <c r="A103" s="1" t="s">
        <v>68</v>
      </c>
      <c r="B103" s="1">
        <f>$B$61</f>
        <v>-187.2</v>
      </c>
      <c r="C103" s="1" t="s">
        <v>69</v>
      </c>
      <c r="D103" s="1">
        <f>D99</f>
        <v>255.6</v>
      </c>
      <c r="E103" s="1" t="s">
        <v>2</v>
      </c>
    </row>
    <row r="105" spans="1:6">
      <c r="A105" s="1" t="s">
        <v>90</v>
      </c>
      <c r="B105" s="1">
        <v>2</v>
      </c>
      <c r="C105" s="1" t="s">
        <v>96</v>
      </c>
      <c r="D105" s="1" t="s">
        <v>97</v>
      </c>
      <c r="E105" s="1">
        <v>15</v>
      </c>
      <c r="F105" s="1" t="s">
        <v>98</v>
      </c>
    </row>
    <row r="106" spans="1:6">
      <c r="A106" s="1" t="s">
        <v>68</v>
      </c>
      <c r="B106" s="1">
        <f>$B$57</f>
        <v>-187.2</v>
      </c>
      <c r="C106" s="1" t="s">
        <v>69</v>
      </c>
      <c r="D106" s="1">
        <v>275</v>
      </c>
      <c r="E106" s="1" t="s">
        <v>2</v>
      </c>
    </row>
    <row r="107" spans="1:6">
      <c r="A107" s="1" t="s">
        <v>68</v>
      </c>
      <c r="B107" s="1">
        <f>$B$58</f>
        <v>187.2</v>
      </c>
      <c r="C107" s="1" t="s">
        <v>69</v>
      </c>
      <c r="D107" s="1">
        <f>D106</f>
        <v>275</v>
      </c>
      <c r="E107" s="1" t="s">
        <v>2</v>
      </c>
    </row>
    <row r="108" spans="1:6">
      <c r="A108" s="1" t="s">
        <v>68</v>
      </c>
      <c r="B108" s="1">
        <f>$B$59</f>
        <v>187.2</v>
      </c>
      <c r="C108" s="1" t="s">
        <v>69</v>
      </c>
      <c r="D108" s="1">
        <f>D106+E105</f>
        <v>290</v>
      </c>
      <c r="E108" s="1" t="s">
        <v>2</v>
      </c>
    </row>
    <row r="109" spans="1:6">
      <c r="A109" s="1" t="s">
        <v>68</v>
      </c>
      <c r="B109" s="1">
        <f>$B$60</f>
        <v>-187.2</v>
      </c>
      <c r="C109" s="1" t="s">
        <v>69</v>
      </c>
      <c r="D109" s="1">
        <f>D108</f>
        <v>290</v>
      </c>
      <c r="E109" s="1" t="s">
        <v>2</v>
      </c>
    </row>
    <row r="110" spans="1:6">
      <c r="A110" s="1" t="s">
        <v>68</v>
      </c>
      <c r="B110" s="1">
        <f>$B$61</f>
        <v>-187.2</v>
      </c>
      <c r="C110" s="1" t="s">
        <v>69</v>
      </c>
      <c r="D110" s="1">
        <f>D106</f>
        <v>275</v>
      </c>
      <c r="E110" s="1" t="s">
        <v>2</v>
      </c>
    </row>
    <row r="112" spans="1:6">
      <c r="A112" s="1" t="s">
        <v>90</v>
      </c>
      <c r="B112" s="1">
        <v>2</v>
      </c>
      <c r="C112" s="1" t="s">
        <v>96</v>
      </c>
      <c r="D112" s="1" t="s">
        <v>100</v>
      </c>
    </row>
    <row r="113" spans="1:5">
      <c r="A113" s="1" t="s">
        <v>68</v>
      </c>
      <c r="B113" s="1">
        <v>192.5</v>
      </c>
      <c r="C113" s="1" t="s">
        <v>69</v>
      </c>
      <c r="D113" s="1">
        <v>290</v>
      </c>
      <c r="E113" s="1" t="s">
        <v>2</v>
      </c>
    </row>
    <row r="114" spans="1:5">
      <c r="A114" s="1" t="s">
        <v>68</v>
      </c>
      <c r="B114" s="1">
        <v>222</v>
      </c>
      <c r="C114" s="1" t="s">
        <v>69</v>
      </c>
      <c r="D114" s="1">
        <v>290</v>
      </c>
      <c r="E114" s="1" t="s">
        <v>2</v>
      </c>
    </row>
    <row r="115" spans="1:5">
      <c r="A115" s="1" t="s">
        <v>68</v>
      </c>
      <c r="B115" s="1">
        <v>222</v>
      </c>
      <c r="C115" s="1" t="s">
        <v>69</v>
      </c>
      <c r="D115" s="1">
        <v>265</v>
      </c>
      <c r="E115" s="1" t="s">
        <v>2</v>
      </c>
    </row>
    <row r="116" spans="1:5">
      <c r="A116" s="1" t="s">
        <v>68</v>
      </c>
      <c r="B116" s="1">
        <v>207</v>
      </c>
      <c r="C116" s="1" t="s">
        <v>69</v>
      </c>
      <c r="D116" s="1">
        <v>257</v>
      </c>
      <c r="E116" s="1" t="s">
        <v>2</v>
      </c>
    </row>
    <row r="117" spans="1:5">
      <c r="A117" s="1" t="s">
        <v>68</v>
      </c>
      <c r="B117" s="1">
        <v>207</v>
      </c>
      <c r="C117" s="1" t="s">
        <v>69</v>
      </c>
      <c r="D117" s="1">
        <v>240</v>
      </c>
      <c r="E117" s="1" t="s">
        <v>2</v>
      </c>
    </row>
    <row r="118" spans="1:5">
      <c r="A118" s="1" t="s">
        <v>68</v>
      </c>
      <c r="B118" s="1">
        <v>222</v>
      </c>
      <c r="C118" s="1" t="s">
        <v>69</v>
      </c>
      <c r="D118" s="1">
        <v>188</v>
      </c>
      <c r="E118" s="1" t="s">
        <v>2</v>
      </c>
    </row>
    <row r="119" spans="1:5">
      <c r="A119" s="1" t="s">
        <v>68</v>
      </c>
      <c r="B119" s="1">
        <v>222</v>
      </c>
      <c r="C119" s="1" t="s">
        <v>69</v>
      </c>
      <c r="D119" s="1">
        <v>166</v>
      </c>
      <c r="E119" s="1" t="s">
        <v>2</v>
      </c>
    </row>
    <row r="120" spans="1:5">
      <c r="A120" s="1" t="s">
        <v>68</v>
      </c>
      <c r="B120" s="1">
        <v>207</v>
      </c>
      <c r="C120" s="1" t="s">
        <v>69</v>
      </c>
      <c r="D120" s="1">
        <v>152</v>
      </c>
      <c r="E120" s="1" t="s">
        <v>2</v>
      </c>
    </row>
    <row r="121" spans="1:5">
      <c r="A121" s="1" t="s">
        <v>68</v>
      </c>
      <c r="B121" s="1">
        <v>197.5</v>
      </c>
      <c r="C121" s="1" t="s">
        <v>69</v>
      </c>
      <c r="D121" s="1">
        <v>152</v>
      </c>
      <c r="E121" s="1" t="s">
        <v>2</v>
      </c>
    </row>
    <row r="122" spans="1:5">
      <c r="A122" s="1" t="s">
        <v>68</v>
      </c>
      <c r="B122" s="1">
        <v>197.5</v>
      </c>
      <c r="C122" s="1" t="s">
        <v>69</v>
      </c>
      <c r="D122" s="1">
        <v>188</v>
      </c>
      <c r="E122" s="1" t="s">
        <v>2</v>
      </c>
    </row>
    <row r="123" spans="1:5">
      <c r="A123" s="1" t="s">
        <v>68</v>
      </c>
      <c r="B123" s="1">
        <v>192.5</v>
      </c>
      <c r="C123" s="1" t="s">
        <v>69</v>
      </c>
      <c r="D123" s="1">
        <v>210</v>
      </c>
      <c r="E123" s="1" t="s">
        <v>2</v>
      </c>
    </row>
    <row r="124" spans="1:5">
      <c r="A124" s="1" t="s">
        <v>68</v>
      </c>
      <c r="B124" s="1">
        <v>192.5</v>
      </c>
      <c r="C124" s="1" t="s">
        <v>69</v>
      </c>
      <c r="D124" s="1">
        <v>290</v>
      </c>
      <c r="E124" s="1" t="s">
        <v>2</v>
      </c>
    </row>
    <row r="126" spans="1:5">
      <c r="A126" s="1" t="s">
        <v>90</v>
      </c>
      <c r="B126" s="1">
        <v>2</v>
      </c>
      <c r="C126" s="1" t="s">
        <v>96</v>
      </c>
      <c r="D126" s="1" t="s">
        <v>101</v>
      </c>
    </row>
    <row r="127" spans="1:5">
      <c r="A127" s="1" t="s">
        <v>68</v>
      </c>
      <c r="B127" s="1">
        <v>222</v>
      </c>
      <c r="C127" s="1" t="s">
        <v>69</v>
      </c>
      <c r="D127" s="1">
        <v>270</v>
      </c>
      <c r="E127" s="1" t="s">
        <v>2</v>
      </c>
    </row>
    <row r="128" spans="1:5">
      <c r="A128" s="1" t="s">
        <v>68</v>
      </c>
      <c r="B128" s="1">
        <v>380</v>
      </c>
      <c r="C128" s="1" t="s">
        <v>69</v>
      </c>
      <c r="D128" s="1">
        <v>270</v>
      </c>
      <c r="E128" s="1" t="s">
        <v>2</v>
      </c>
    </row>
    <row r="129" spans="1:5">
      <c r="A129" s="1" t="s">
        <v>68</v>
      </c>
      <c r="B129" s="1">
        <v>380</v>
      </c>
      <c r="C129" s="1" t="s">
        <v>69</v>
      </c>
      <c r="D129" s="1">
        <v>290</v>
      </c>
      <c r="E129" s="1" t="s">
        <v>2</v>
      </c>
    </row>
    <row r="130" spans="1:5">
      <c r="A130" s="1" t="s">
        <v>68</v>
      </c>
      <c r="B130" s="1">
        <v>222</v>
      </c>
      <c r="C130" s="1" t="s">
        <v>69</v>
      </c>
      <c r="D130" s="1">
        <v>290</v>
      </c>
      <c r="E130" s="1" t="s">
        <v>2</v>
      </c>
    </row>
    <row r="131" spans="1:5">
      <c r="A131" s="1" t="s">
        <v>68</v>
      </c>
      <c r="B131" s="1">
        <v>222</v>
      </c>
      <c r="C131" s="1" t="s">
        <v>69</v>
      </c>
      <c r="D131" s="1">
        <v>270</v>
      </c>
      <c r="E131" s="1" t="s">
        <v>2</v>
      </c>
    </row>
    <row r="133" spans="1:5">
      <c r="A133" s="1" t="s">
        <v>90</v>
      </c>
      <c r="B133" s="1">
        <v>2</v>
      </c>
      <c r="C133" s="1" t="s">
        <v>96</v>
      </c>
      <c r="D133" s="1" t="s">
        <v>102</v>
      </c>
    </row>
    <row r="134" spans="1:5">
      <c r="A134" s="1" t="s">
        <v>68</v>
      </c>
      <c r="B134" s="1">
        <v>380</v>
      </c>
      <c r="C134" s="1" t="s">
        <v>69</v>
      </c>
      <c r="D134" s="1">
        <v>290</v>
      </c>
      <c r="E134" s="1" t="s">
        <v>2</v>
      </c>
    </row>
    <row r="135" spans="1:5">
      <c r="A135" s="1" t="s">
        <v>68</v>
      </c>
      <c r="B135" s="1">
        <v>400</v>
      </c>
      <c r="C135" s="1" t="s">
        <v>69</v>
      </c>
      <c r="D135" s="1">
        <v>290</v>
      </c>
      <c r="E135" s="1" t="s">
        <v>2</v>
      </c>
    </row>
    <row r="136" spans="1:5">
      <c r="A136" s="1" t="s">
        <v>68</v>
      </c>
      <c r="B136" s="1">
        <v>420</v>
      </c>
      <c r="C136" s="1" t="s">
        <v>69</v>
      </c>
      <c r="D136" s="1">
        <v>120</v>
      </c>
      <c r="E136" s="1" t="s">
        <v>2</v>
      </c>
    </row>
    <row r="137" spans="1:5">
      <c r="A137" s="1" t="s">
        <v>68</v>
      </c>
      <c r="B137" s="1">
        <v>420</v>
      </c>
      <c r="C137" s="1" t="s">
        <v>69</v>
      </c>
      <c r="D137" s="1">
        <v>70</v>
      </c>
      <c r="E137" s="1" t="s">
        <v>2</v>
      </c>
    </row>
    <row r="138" spans="1:5">
      <c r="A138" s="1" t="s">
        <v>68</v>
      </c>
      <c r="B138" s="1">
        <v>380</v>
      </c>
      <c r="C138" s="1" t="s">
        <v>69</v>
      </c>
      <c r="D138" s="1">
        <v>30</v>
      </c>
      <c r="E138" s="1" t="s">
        <v>2</v>
      </c>
    </row>
    <row r="139" spans="1:5">
      <c r="A139" s="1" t="s">
        <v>68</v>
      </c>
      <c r="B139" s="1">
        <v>290</v>
      </c>
      <c r="C139" s="1" t="s">
        <v>69</v>
      </c>
      <c r="D139" s="1">
        <v>30</v>
      </c>
      <c r="E139" s="1" t="s">
        <v>2</v>
      </c>
    </row>
    <row r="140" spans="1:5">
      <c r="A140" s="1" t="s">
        <v>68</v>
      </c>
      <c r="B140" s="1">
        <v>200</v>
      </c>
      <c r="C140" s="1" t="s">
        <v>69</v>
      </c>
      <c r="D140" s="1">
        <v>22</v>
      </c>
      <c r="E140" s="1" t="s">
        <v>2</v>
      </c>
    </row>
    <row r="141" spans="1:5">
      <c r="A141" s="1" t="s">
        <v>68</v>
      </c>
      <c r="B141" s="1">
        <v>200</v>
      </c>
      <c r="C141" s="1" t="s">
        <v>69</v>
      </c>
      <c r="D141" s="1">
        <v>58</v>
      </c>
      <c r="E141" s="1" t="s">
        <v>2</v>
      </c>
    </row>
    <row r="142" spans="1:5">
      <c r="A142" s="1" t="s">
        <v>68</v>
      </c>
      <c r="B142" s="1">
        <v>380</v>
      </c>
      <c r="C142" s="1" t="s">
        <v>69</v>
      </c>
      <c r="D142" s="1">
        <v>128</v>
      </c>
      <c r="E142" s="1" t="s">
        <v>2</v>
      </c>
    </row>
    <row r="143" spans="1:5">
      <c r="A143" s="1" t="s">
        <v>68</v>
      </c>
      <c r="B143" s="1">
        <v>380</v>
      </c>
      <c r="C143" s="1" t="s">
        <v>69</v>
      </c>
      <c r="D143" s="1">
        <v>290</v>
      </c>
      <c r="E143" s="1" t="s">
        <v>2</v>
      </c>
    </row>
    <row r="145" spans="1:5">
      <c r="A145" s="1" t="s">
        <v>90</v>
      </c>
      <c r="B145" s="1">
        <v>2</v>
      </c>
      <c r="C145" s="1" t="s">
        <v>96</v>
      </c>
      <c r="D145" s="1" t="s">
        <v>103</v>
      </c>
    </row>
    <row r="146" spans="1:5">
      <c r="A146" s="1" t="s">
        <v>68</v>
      </c>
      <c r="B146" s="1">
        <v>-192.5</v>
      </c>
      <c r="C146" s="1" t="s">
        <v>69</v>
      </c>
      <c r="D146" s="1">
        <v>290</v>
      </c>
      <c r="E146" s="1" t="s">
        <v>2</v>
      </c>
    </row>
    <row r="147" spans="1:5">
      <c r="A147" s="1" t="s">
        <v>68</v>
      </c>
      <c r="B147" s="1">
        <v>-222</v>
      </c>
      <c r="C147" s="1" t="s">
        <v>69</v>
      </c>
      <c r="D147" s="1">
        <v>290</v>
      </c>
      <c r="E147" s="1" t="s">
        <v>2</v>
      </c>
    </row>
    <row r="148" spans="1:5">
      <c r="A148" s="1" t="s">
        <v>68</v>
      </c>
      <c r="B148" s="1">
        <v>-222</v>
      </c>
      <c r="C148" s="1" t="s">
        <v>69</v>
      </c>
      <c r="D148" s="1">
        <v>265</v>
      </c>
      <c r="E148" s="1" t="s">
        <v>2</v>
      </c>
    </row>
    <row r="149" spans="1:5">
      <c r="A149" s="1" t="s">
        <v>68</v>
      </c>
      <c r="B149" s="1">
        <v>-207</v>
      </c>
      <c r="C149" s="1" t="s">
        <v>69</v>
      </c>
      <c r="D149" s="1">
        <v>257</v>
      </c>
      <c r="E149" s="1" t="s">
        <v>2</v>
      </c>
    </row>
    <row r="150" spans="1:5">
      <c r="A150" s="1" t="s">
        <v>68</v>
      </c>
      <c r="B150" s="1">
        <v>-207</v>
      </c>
      <c r="C150" s="1" t="s">
        <v>69</v>
      </c>
      <c r="D150" s="1">
        <v>240</v>
      </c>
      <c r="E150" s="1" t="s">
        <v>2</v>
      </c>
    </row>
    <row r="151" spans="1:5">
      <c r="A151" s="1" t="s">
        <v>68</v>
      </c>
      <c r="B151" s="1">
        <v>-222</v>
      </c>
      <c r="C151" s="1" t="s">
        <v>69</v>
      </c>
      <c r="D151" s="1">
        <v>188</v>
      </c>
      <c r="E151" s="1" t="s">
        <v>2</v>
      </c>
    </row>
    <row r="152" spans="1:5">
      <c r="A152" s="1" t="s">
        <v>68</v>
      </c>
      <c r="B152" s="1">
        <v>-222</v>
      </c>
      <c r="C152" s="1" t="s">
        <v>69</v>
      </c>
      <c r="D152" s="1">
        <v>166</v>
      </c>
      <c r="E152" s="1" t="s">
        <v>2</v>
      </c>
    </row>
    <row r="153" spans="1:5">
      <c r="A153" s="1" t="s">
        <v>68</v>
      </c>
      <c r="B153" s="1">
        <v>-207</v>
      </c>
      <c r="C153" s="1" t="s">
        <v>69</v>
      </c>
      <c r="D153" s="1">
        <v>152</v>
      </c>
      <c r="E153" s="1" t="s">
        <v>2</v>
      </c>
    </row>
    <row r="154" spans="1:5">
      <c r="A154" s="1" t="s">
        <v>68</v>
      </c>
      <c r="B154" s="1">
        <v>-197.5</v>
      </c>
      <c r="C154" s="1" t="s">
        <v>69</v>
      </c>
      <c r="D154" s="1">
        <v>152</v>
      </c>
      <c r="E154" s="1" t="s">
        <v>2</v>
      </c>
    </row>
    <row r="155" spans="1:5">
      <c r="A155" s="1" t="s">
        <v>68</v>
      </c>
      <c r="B155" s="1">
        <v>-197.5</v>
      </c>
      <c r="C155" s="1" t="s">
        <v>69</v>
      </c>
      <c r="D155" s="1">
        <v>188</v>
      </c>
      <c r="E155" s="1" t="s">
        <v>2</v>
      </c>
    </row>
    <row r="156" spans="1:5">
      <c r="A156" s="1" t="s">
        <v>68</v>
      </c>
      <c r="B156" s="1">
        <v>-192.5</v>
      </c>
      <c r="C156" s="1" t="s">
        <v>69</v>
      </c>
      <c r="D156" s="1">
        <v>210</v>
      </c>
      <c r="E156" s="1" t="s">
        <v>2</v>
      </c>
    </row>
    <row r="157" spans="1:5">
      <c r="A157" s="1" t="s">
        <v>68</v>
      </c>
      <c r="B157" s="1">
        <v>-192.5</v>
      </c>
      <c r="C157" s="1" t="s">
        <v>69</v>
      </c>
      <c r="D157" s="1">
        <v>290</v>
      </c>
      <c r="E157" s="1" t="s">
        <v>2</v>
      </c>
    </row>
    <row r="159" spans="1:5">
      <c r="A159" s="1" t="s">
        <v>90</v>
      </c>
      <c r="B159" s="1">
        <v>2</v>
      </c>
      <c r="C159" s="1" t="s">
        <v>96</v>
      </c>
      <c r="D159" s="1" t="s">
        <v>104</v>
      </c>
    </row>
    <row r="160" spans="1:5">
      <c r="A160" s="1" t="s">
        <v>68</v>
      </c>
      <c r="B160" s="1">
        <v>-222</v>
      </c>
      <c r="C160" s="1" t="s">
        <v>69</v>
      </c>
      <c r="D160" s="1">
        <v>290</v>
      </c>
      <c r="E160" s="1" t="s">
        <v>2</v>
      </c>
    </row>
    <row r="161" spans="1:5">
      <c r="A161" s="1" t="s">
        <v>68</v>
      </c>
      <c r="B161" s="1">
        <v>-222</v>
      </c>
      <c r="C161" s="1" t="s">
        <v>69</v>
      </c>
      <c r="D161" s="1">
        <v>265</v>
      </c>
      <c r="E161" s="1" t="s">
        <v>2</v>
      </c>
    </row>
    <row r="162" spans="1:5">
      <c r="A162" s="1" t="s">
        <v>68</v>
      </c>
      <c r="B162" s="1">
        <v>-226.5</v>
      </c>
      <c r="C162" s="1" t="s">
        <v>69</v>
      </c>
      <c r="D162" s="1">
        <f>D161</f>
        <v>265</v>
      </c>
      <c r="E162" s="1" t="s">
        <v>2</v>
      </c>
    </row>
    <row r="163" spans="1:5">
      <c r="A163" s="1" t="s">
        <v>68</v>
      </c>
      <c r="B163" s="1">
        <v>-226.5</v>
      </c>
      <c r="C163" s="1" t="s">
        <v>69</v>
      </c>
      <c r="D163" s="1">
        <v>45</v>
      </c>
      <c r="E163" s="1" t="s">
        <v>2</v>
      </c>
    </row>
    <row r="164" spans="1:5">
      <c r="A164" s="1" t="s">
        <v>68</v>
      </c>
      <c r="B164" s="1">
        <v>-262.5</v>
      </c>
      <c r="C164" s="1" t="s">
        <v>69</v>
      </c>
      <c r="D164" s="1">
        <v>35</v>
      </c>
      <c r="E164" s="1" t="s">
        <v>2</v>
      </c>
    </row>
    <row r="165" spans="1:5">
      <c r="A165" s="1" t="s">
        <v>68</v>
      </c>
      <c r="B165" s="1">
        <v>-262.5</v>
      </c>
      <c r="C165" s="1" t="s">
        <v>69</v>
      </c>
      <c r="D165" s="1">
        <f>D160</f>
        <v>290</v>
      </c>
      <c r="E165" s="1" t="s">
        <v>2</v>
      </c>
    </row>
    <row r="166" spans="1:5">
      <c r="A166" s="1" t="s">
        <v>68</v>
      </c>
      <c r="B166" s="1">
        <f>B160</f>
        <v>-222</v>
      </c>
      <c r="C166" s="1" t="s">
        <v>69</v>
      </c>
      <c r="D166" s="1">
        <f>D160</f>
        <v>290</v>
      </c>
      <c r="E166" s="1" t="s">
        <v>2</v>
      </c>
    </row>
    <row r="168" spans="1:5">
      <c r="A168" s="1" t="s">
        <v>90</v>
      </c>
      <c r="B168" s="1">
        <v>2</v>
      </c>
      <c r="C168" s="1" t="s">
        <v>96</v>
      </c>
      <c r="D168" s="1" t="s">
        <v>105</v>
      </c>
    </row>
    <row r="169" spans="1:5">
      <c r="A169" s="1" t="s">
        <v>68</v>
      </c>
      <c r="B169" s="1">
        <v>-266.5</v>
      </c>
      <c r="C169" s="1" t="s">
        <v>69</v>
      </c>
      <c r="D169" s="1">
        <v>290</v>
      </c>
      <c r="E169" s="1" t="s">
        <v>2</v>
      </c>
    </row>
    <row r="170" spans="1:5">
      <c r="A170" s="1" t="s">
        <v>68</v>
      </c>
      <c r="B170" s="1">
        <v>-266.5</v>
      </c>
      <c r="C170" s="1" t="s">
        <v>69</v>
      </c>
      <c r="D170" s="1">
        <v>34</v>
      </c>
      <c r="E170" s="1" t="s">
        <v>2</v>
      </c>
    </row>
    <row r="171" spans="1:5">
      <c r="A171" s="1" t="s">
        <v>68</v>
      </c>
      <c r="B171" s="1">
        <v>-276.5</v>
      </c>
      <c r="C171" s="1" t="s">
        <v>69</v>
      </c>
      <c r="D171" s="1">
        <v>31.5</v>
      </c>
      <c r="E171" s="1" t="s">
        <v>2</v>
      </c>
    </row>
    <row r="172" spans="1:5">
      <c r="A172" s="1" t="s">
        <v>68</v>
      </c>
      <c r="B172" s="1">
        <v>-276.5</v>
      </c>
      <c r="C172" s="1" t="s">
        <v>69</v>
      </c>
      <c r="D172" s="1">
        <v>290</v>
      </c>
      <c r="E172" s="1" t="s">
        <v>2</v>
      </c>
    </row>
    <row r="173" spans="1:5">
      <c r="A173" s="1" t="s">
        <v>68</v>
      </c>
      <c r="B173" s="1">
        <v>-266.5</v>
      </c>
      <c r="C173" s="1" t="s">
        <v>69</v>
      </c>
      <c r="D173" s="1">
        <v>290</v>
      </c>
      <c r="E173" s="1" t="s">
        <v>2</v>
      </c>
    </row>
    <row r="175" spans="1:5">
      <c r="A175" s="1" t="s">
        <v>90</v>
      </c>
      <c r="B175" s="1">
        <v>2</v>
      </c>
      <c r="C175" s="1" t="s">
        <v>96</v>
      </c>
      <c r="D175" s="1" t="s">
        <v>105</v>
      </c>
    </row>
    <row r="176" spans="1:5">
      <c r="A176" s="1" t="s">
        <v>68</v>
      </c>
      <c r="B176" s="1">
        <v>-278.5</v>
      </c>
      <c r="C176" s="1" t="s">
        <v>69</v>
      </c>
      <c r="D176" s="1">
        <v>290</v>
      </c>
      <c r="E176" s="1" t="s">
        <v>2</v>
      </c>
    </row>
    <row r="177" spans="1:5">
      <c r="A177" s="1" t="s">
        <v>68</v>
      </c>
      <c r="B177" s="1">
        <v>-278.5</v>
      </c>
      <c r="C177" s="1" t="s">
        <v>69</v>
      </c>
      <c r="D177" s="1">
        <v>31</v>
      </c>
      <c r="E177" s="1" t="s">
        <v>2</v>
      </c>
    </row>
    <row r="178" spans="1:5">
      <c r="A178" s="1" t="s">
        <v>68</v>
      </c>
      <c r="B178" s="1">
        <v>-282.5</v>
      </c>
      <c r="C178" s="1" t="s">
        <v>69</v>
      </c>
      <c r="D178" s="1">
        <v>30</v>
      </c>
      <c r="E178" s="1" t="s">
        <v>2</v>
      </c>
    </row>
    <row r="179" spans="1:5">
      <c r="A179" s="1" t="s">
        <v>68</v>
      </c>
      <c r="B179" s="1">
        <v>-282.5</v>
      </c>
      <c r="C179" s="1" t="s">
        <v>69</v>
      </c>
      <c r="D179" s="1">
        <v>290</v>
      </c>
      <c r="E179" s="1" t="s">
        <v>2</v>
      </c>
    </row>
    <row r="180" spans="1:5">
      <c r="A180" s="1" t="s">
        <v>68</v>
      </c>
      <c r="B180" s="1">
        <v>-278.5</v>
      </c>
      <c r="C180" s="1" t="s">
        <v>69</v>
      </c>
      <c r="D180" s="1">
        <v>290</v>
      </c>
      <c r="E180" s="1" t="s">
        <v>2</v>
      </c>
    </row>
    <row r="182" spans="1:5">
      <c r="A182" s="1" t="s">
        <v>90</v>
      </c>
      <c r="B182" s="1">
        <v>2</v>
      </c>
      <c r="C182" s="1" t="s">
        <v>96</v>
      </c>
      <c r="D182" s="1" t="s">
        <v>105</v>
      </c>
    </row>
    <row r="183" spans="1:5">
      <c r="A183" s="1" t="s">
        <v>68</v>
      </c>
      <c r="B183" s="1">
        <v>-284.5</v>
      </c>
      <c r="C183" s="1" t="s">
        <v>69</v>
      </c>
      <c r="D183" s="1">
        <v>290</v>
      </c>
      <c r="E183" s="1" t="s">
        <v>2</v>
      </c>
    </row>
    <row r="184" spans="1:5">
      <c r="A184" s="1" t="s">
        <v>68</v>
      </c>
      <c r="B184" s="1">
        <v>-284.5</v>
      </c>
      <c r="C184" s="1" t="s">
        <v>69</v>
      </c>
      <c r="D184" s="1">
        <v>29.5</v>
      </c>
      <c r="E184" s="1" t="s">
        <v>2</v>
      </c>
    </row>
    <row r="185" spans="1:5">
      <c r="A185" s="1" t="s">
        <v>68</v>
      </c>
      <c r="B185" s="1">
        <v>-288.5</v>
      </c>
      <c r="C185" s="1" t="s">
        <v>69</v>
      </c>
      <c r="D185" s="1">
        <v>28.5</v>
      </c>
      <c r="E185" s="1" t="s">
        <v>2</v>
      </c>
    </row>
    <row r="186" spans="1:5">
      <c r="A186" s="1" t="s">
        <v>68</v>
      </c>
      <c r="B186" s="1">
        <v>-288.5</v>
      </c>
      <c r="C186" s="1" t="s">
        <v>69</v>
      </c>
      <c r="D186" s="1">
        <v>290</v>
      </c>
      <c r="E186" s="1" t="s">
        <v>2</v>
      </c>
    </row>
    <row r="187" spans="1:5">
      <c r="A187" s="1" t="s">
        <v>68</v>
      </c>
      <c r="B187" s="1">
        <v>-284.5</v>
      </c>
      <c r="C187" s="1" t="s">
        <v>69</v>
      </c>
      <c r="D187" s="1">
        <v>290</v>
      </c>
      <c r="E187" s="1" t="s">
        <v>2</v>
      </c>
    </row>
  </sheetData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CLEOv5</vt:lpstr>
      <vt:lpstr>CLEOv4</vt:lpstr>
      <vt:lpstr>CLEOv2</vt:lpstr>
      <vt:lpstr>CLEOv1</vt:lpstr>
      <vt:lpstr>CDFv4</vt:lpstr>
      <vt:lpstr>CDFv3</vt:lpstr>
      <vt:lpstr>CDFv2</vt:lpstr>
      <vt:lpstr>ZEUSv1</vt:lpstr>
      <vt:lpstr>BabarV3</vt:lpstr>
      <vt:lpstr>Solcust</vt:lpstr>
    </vt:vector>
  </TitlesOfParts>
  <Company>Argonne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reimer</dc:creator>
  <cp:lastModifiedBy>Paul E Reimer</cp:lastModifiedBy>
  <dcterms:created xsi:type="dcterms:W3CDTF">2009-09-22T14:21:54Z</dcterms:created>
  <dcterms:modified xsi:type="dcterms:W3CDTF">2011-08-24T16:50:22Z</dcterms:modified>
</cp:coreProperties>
</file>