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22995" windowHeight="13740" activeTab="4"/>
  </bookViews>
  <sheets>
    <sheet name="Q1-IvsG" sheetId="7" r:id="rId1"/>
    <sheet name="Q2-IvsG" sheetId="5" r:id="rId2"/>
    <sheet name="Q3-IvsG" sheetId="6" r:id="rId3"/>
    <sheet name="Dipole-BvsG" sheetId="8" r:id="rId4"/>
    <sheet name="Dipole-IvsG" sheetId="4" r:id="rId5"/>
    <sheet name="HMS-Data" sheetId="1" r:id="rId6"/>
    <sheet name="Sheet2" sheetId="2" r:id="rId7"/>
    <sheet name="Golden tune 2003" sheetId="3" r:id="rId8"/>
  </sheets>
  <calcPr calcId="145621" calcCompleted="0"/>
</workbook>
</file>

<file path=xl/calcChain.xml><?xml version="1.0" encoding="utf-8"?>
<calcChain xmlns="http://schemas.openxmlformats.org/spreadsheetml/2006/main">
  <c r="P56" i="1" l="1"/>
  <c r="K56" i="1"/>
  <c r="J56" i="1"/>
  <c r="G56" i="1"/>
  <c r="C56" i="1"/>
  <c r="R31" i="1"/>
  <c r="O55" i="1"/>
  <c r="O56" i="1" s="1"/>
  <c r="P55" i="1"/>
  <c r="N55" i="1"/>
  <c r="N56" i="1" s="1"/>
  <c r="M55" i="1"/>
  <c r="M56" i="1" s="1"/>
  <c r="L55" i="1"/>
  <c r="L56" i="1" s="1"/>
  <c r="K55" i="1"/>
  <c r="J55" i="1"/>
  <c r="I55" i="1"/>
  <c r="I56" i="1" s="1"/>
  <c r="H55" i="1"/>
  <c r="H56" i="1" s="1"/>
  <c r="G55" i="1"/>
  <c r="F55" i="1"/>
  <c r="F56" i="1" s="1"/>
  <c r="E55" i="1"/>
  <c r="E56" i="1" s="1"/>
  <c r="D55" i="1"/>
  <c r="D56" i="1" s="1"/>
  <c r="C55" i="1"/>
  <c r="K21" i="3"/>
  <c r="K22" i="3" s="1"/>
  <c r="K15" i="3"/>
  <c r="K16" i="3" s="1"/>
  <c r="K9" i="3"/>
  <c r="K10" i="3" s="1"/>
  <c r="K3" i="3"/>
  <c r="K4" i="3" s="1"/>
  <c r="L16" i="3"/>
  <c r="J16" i="3"/>
  <c r="I16" i="3"/>
  <c r="H16" i="3"/>
  <c r="G16" i="3"/>
  <c r="F16" i="3"/>
  <c r="E16" i="3"/>
  <c r="D16" i="3"/>
  <c r="C16" i="3"/>
  <c r="L10" i="3"/>
  <c r="J10" i="3"/>
  <c r="I10" i="3"/>
  <c r="H10" i="3"/>
  <c r="G10" i="3"/>
  <c r="F10" i="3"/>
  <c r="E10" i="3"/>
  <c r="D10" i="3"/>
  <c r="C10" i="3"/>
  <c r="L15" i="3"/>
  <c r="G9" i="3"/>
  <c r="G3" i="3"/>
  <c r="G4" i="3" s="1"/>
  <c r="I4" i="3"/>
  <c r="J15" i="3"/>
  <c r="I15" i="3"/>
  <c r="H15" i="3"/>
  <c r="G15" i="3"/>
  <c r="F15" i="3"/>
  <c r="E15" i="3"/>
  <c r="D15" i="3"/>
  <c r="C15" i="3"/>
  <c r="L9" i="3"/>
  <c r="J9" i="3"/>
  <c r="I9" i="3"/>
  <c r="H9" i="3"/>
  <c r="F9" i="3"/>
  <c r="E9" i="3"/>
  <c r="D9" i="3"/>
  <c r="C9" i="3"/>
  <c r="L21" i="3"/>
  <c r="J21" i="3"/>
  <c r="I21" i="3"/>
  <c r="H21" i="3"/>
  <c r="F21" i="3"/>
  <c r="E21" i="3"/>
  <c r="E22" i="3" s="1"/>
  <c r="D21" i="3"/>
  <c r="D22" i="3" s="1"/>
  <c r="C21" i="3"/>
  <c r="C22" i="3" s="1"/>
  <c r="L22" i="3"/>
  <c r="J22" i="3"/>
  <c r="I22" i="3"/>
  <c r="H22" i="3"/>
  <c r="F22" i="3"/>
  <c r="L3" i="3"/>
  <c r="L4" i="3" s="1"/>
  <c r="J3" i="3"/>
  <c r="J4" i="3" s="1"/>
  <c r="I3" i="3"/>
  <c r="H3" i="3"/>
  <c r="H4" i="3" s="1"/>
  <c r="F3" i="3"/>
  <c r="F4" i="3" s="1"/>
  <c r="E3" i="3"/>
  <c r="E4" i="3" s="1"/>
  <c r="D3" i="3"/>
  <c r="D4" i="3" s="1"/>
  <c r="C3" i="3"/>
  <c r="C4" i="3" s="1"/>
  <c r="C13" i="2"/>
  <c r="Q33" i="1" l="1"/>
  <c r="P33" i="1"/>
  <c r="O33" i="1"/>
  <c r="O34" i="1" s="1"/>
  <c r="N33" i="1"/>
  <c r="N34" i="1" s="1"/>
  <c r="M33" i="1"/>
  <c r="M34" i="1" s="1"/>
  <c r="L33" i="1"/>
  <c r="L34" i="1" s="1"/>
  <c r="K33" i="1"/>
  <c r="K34" i="1" s="1"/>
  <c r="J33" i="1"/>
  <c r="J34" i="1" s="1"/>
  <c r="I33" i="1"/>
  <c r="H33" i="1"/>
  <c r="G33" i="1"/>
  <c r="G34" i="1" s="1"/>
  <c r="F33" i="1"/>
  <c r="F34" i="1" s="1"/>
  <c r="E33" i="1"/>
  <c r="E34" i="1" s="1"/>
  <c r="D33" i="1"/>
  <c r="D34" i="1" s="1"/>
  <c r="C33" i="1"/>
  <c r="C34" i="1" s="1"/>
  <c r="E7" i="2"/>
  <c r="F7" i="2" s="1"/>
  <c r="E6" i="2"/>
  <c r="F6" i="2" s="1"/>
  <c r="E5" i="2"/>
  <c r="F5" i="2" s="1"/>
  <c r="E4" i="2"/>
  <c r="F4" i="2" s="1"/>
  <c r="E3" i="2"/>
  <c r="F3" i="2" s="1"/>
  <c r="F2" i="2"/>
  <c r="E2" i="2"/>
  <c r="M21" i="1"/>
  <c r="M22" i="1" s="1"/>
  <c r="H21" i="1"/>
  <c r="H22" i="1" s="1"/>
  <c r="M19" i="1"/>
  <c r="H19" i="1"/>
  <c r="O7" i="1"/>
  <c r="O8" i="1" s="1"/>
  <c r="M7" i="1"/>
  <c r="M8" i="1" s="1"/>
  <c r="M5" i="1"/>
  <c r="Q35" i="1"/>
  <c r="Q30" i="1" s="1"/>
  <c r="P35" i="1"/>
  <c r="P31" i="1" s="1"/>
  <c r="I34" i="1"/>
  <c r="H34" i="1"/>
  <c r="Q34" i="1"/>
  <c r="P34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5" i="1"/>
  <c r="P36" i="1" l="1"/>
  <c r="Q36" i="1"/>
  <c r="Q31" i="1"/>
  <c r="P30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I39" i="1"/>
  <c r="H39" i="1"/>
  <c r="O39" i="1"/>
  <c r="N39" i="1"/>
  <c r="M39" i="1"/>
  <c r="L39" i="1"/>
  <c r="K39" i="1"/>
  <c r="J39" i="1"/>
  <c r="G39" i="1"/>
  <c r="F39" i="1"/>
  <c r="E39" i="1"/>
  <c r="D39" i="1"/>
  <c r="C39" i="1"/>
  <c r="O25" i="1"/>
  <c r="N25" i="1"/>
  <c r="L25" i="1"/>
  <c r="K25" i="1"/>
  <c r="J25" i="1"/>
  <c r="I25" i="1"/>
  <c r="G25" i="1"/>
  <c r="F25" i="1"/>
  <c r="E25" i="1"/>
  <c r="D25" i="1"/>
  <c r="C25" i="1"/>
  <c r="O22" i="1"/>
  <c r="N22" i="1"/>
  <c r="L22" i="1"/>
  <c r="K22" i="1"/>
  <c r="J22" i="1"/>
  <c r="I22" i="1"/>
  <c r="G22" i="1"/>
  <c r="F22" i="1"/>
  <c r="E22" i="1"/>
  <c r="D22" i="1"/>
  <c r="C22" i="1"/>
  <c r="O19" i="1"/>
  <c r="N19" i="1"/>
  <c r="L19" i="1"/>
  <c r="K19" i="1"/>
  <c r="J19" i="1"/>
  <c r="I19" i="1"/>
  <c r="G19" i="1"/>
  <c r="F19" i="1"/>
  <c r="E19" i="1"/>
  <c r="D19" i="1"/>
  <c r="C19" i="1"/>
  <c r="N11" i="1"/>
  <c r="L11" i="1"/>
  <c r="K11" i="1"/>
  <c r="J11" i="1"/>
  <c r="I11" i="1"/>
  <c r="H11" i="1"/>
  <c r="G11" i="1"/>
  <c r="F11" i="1"/>
  <c r="E11" i="1"/>
  <c r="D11" i="1"/>
  <c r="C11" i="1"/>
  <c r="N8" i="1"/>
  <c r="L8" i="1"/>
  <c r="K8" i="1"/>
  <c r="J8" i="1"/>
  <c r="I8" i="1"/>
  <c r="H8" i="1"/>
  <c r="G8" i="1"/>
  <c r="F8" i="1"/>
  <c r="E8" i="1"/>
  <c r="D8" i="1"/>
  <c r="C8" i="1"/>
  <c r="N5" i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<sst xmlns="http://schemas.openxmlformats.org/spreadsheetml/2006/main" count="122" uniqueCount="59">
  <si>
    <t xml:space="preserve">Momemtum </t>
  </si>
  <si>
    <t>Gev/c</t>
  </si>
  <si>
    <t>Current</t>
  </si>
  <si>
    <t>Amps</t>
  </si>
  <si>
    <t>N-I/pole</t>
  </si>
  <si>
    <t>B(2,pole)</t>
  </si>
  <si>
    <t>Gradient</t>
  </si>
  <si>
    <t>EFL</t>
  </si>
  <si>
    <t>Stored energy</t>
  </si>
  <si>
    <t>Inductance</t>
  </si>
  <si>
    <t>kA-Turns</t>
  </si>
  <si>
    <t>T</t>
  </si>
  <si>
    <t>T/m</t>
  </si>
  <si>
    <t>m</t>
  </si>
  <si>
    <t>kJ</t>
  </si>
  <si>
    <t>H</t>
  </si>
  <si>
    <t>Turns</t>
  </si>
  <si>
    <t>43 44 45 45</t>
  </si>
  <si>
    <t>Q1</t>
  </si>
  <si>
    <t>Q2/Q3</t>
  </si>
  <si>
    <t>HMS</t>
  </si>
  <si>
    <t>Dipole</t>
  </si>
  <si>
    <t>J</t>
  </si>
  <si>
    <t>kA-Turns/cm^2</t>
  </si>
  <si>
    <t>B</t>
  </si>
  <si>
    <t>Area = 17.886x8.873 = 158.702 cm^2</t>
  </si>
  <si>
    <t>B/I</t>
  </si>
  <si>
    <t>Current (I)</t>
  </si>
  <si>
    <t>mT/A</t>
  </si>
  <si>
    <t>NMR Values</t>
  </si>
  <si>
    <t>A</t>
  </si>
  <si>
    <t>mT/a</t>
  </si>
  <si>
    <t>Area = 0.127x13.5549 = 1.7214723</t>
  </si>
  <si>
    <t>0.127*14.0819 = 1.7884013</t>
  </si>
  <si>
    <t>0.127x13.8189 = 1.755000</t>
  </si>
  <si>
    <t>56 57 58 58 58 58 =345 turns</t>
  </si>
  <si>
    <t>varies per stack</t>
  </si>
  <si>
    <t>Q2 Gev/c</t>
  </si>
  <si>
    <t xml:space="preserve">Q3 Gev/c </t>
  </si>
  <si>
    <t>Golden Tune - Q3</t>
  </si>
  <si>
    <t>Golden Tune - Q2</t>
  </si>
  <si>
    <t>Golden Tune - Q1</t>
  </si>
  <si>
    <t>Golden Tune - Dipole B=0.27485827*P</t>
  </si>
  <si>
    <t>Turns = 177</t>
  </si>
  <si>
    <t>Turns = 345</t>
  </si>
  <si>
    <t>I</t>
  </si>
  <si>
    <t>NI</t>
  </si>
  <si>
    <t>N</t>
  </si>
  <si>
    <t>Turns = 156</t>
  </si>
  <si>
    <t>G</t>
  </si>
  <si>
    <t xml:space="preserve"> </t>
  </si>
  <si>
    <t>Bdl</t>
  </si>
  <si>
    <t>Q2</t>
  </si>
  <si>
    <t>Q3</t>
  </si>
  <si>
    <t>C</t>
  </si>
  <si>
    <t>L</t>
  </si>
  <si>
    <t>CB</t>
  </si>
  <si>
    <t>Cutoff</t>
  </si>
  <si>
    <t>Robin's Tosca model 1/27/1998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</si>
</sst>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9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164" fontId="0" fillId="0" borderId="0" xfId="0" applyNumberFormat="1"/>
    <xf numFmtId="0" fontId="1" fillId="0" borderId="0" xfId="0" applyFont="1"/>
    <xf numFmtId="164" fontId="1" fillId="2" borderId="0" xfId="0" applyNumberFormat="1" applyFont="1" applyFill="1"/>
    <xf numFmtId="0" fontId="1" fillId="2" borderId="0" xfId="0" applyFont="1" applyFill="1"/>
    <xf numFmtId="164" fontId="0" fillId="0" borderId="0" xfId="0" applyNumberFormat="1" applyFont="1" applyFill="1"/>
    <xf numFmtId="0" fontId="0" fillId="0" borderId="0" xfId="0" applyFont="1" applyFill="1"/>
    <xf numFmtId="169" fontId="0" fillId="0" borderId="0" xfId="0" applyNumberFormat="1" applyAlignment="1">
      <alignment horizontal="center"/>
    </xf>
    <xf numFmtId="169" fontId="0" fillId="0" borderId="0" xfId="0" applyNumberFormat="1"/>
    <xf numFmtId="169" fontId="1" fillId="2" borderId="0" xfId="0" applyNumberFormat="1" applyFont="1" applyFill="1"/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3" borderId="0" xfId="0" applyFill="1"/>
    <xf numFmtId="0" fontId="0" fillId="0" borderId="0" xfId="0" applyFill="1"/>
    <xf numFmtId="0" fontId="0" fillId="0" borderId="0" xfId="0" applyAlignment="1">
      <alignment horizontal="left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2.xml"/><Relationship Id="rId12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5.xml"/><Relationship Id="rId10" Type="http://schemas.openxmlformats.org/officeDocument/2006/relationships/styles" Target="styles.xml"/><Relationship Id="rId4" Type="http://schemas.openxmlformats.org/officeDocument/2006/relationships/chartsheet" Target="chartsheets/sheet4.xml"/><Relationship Id="rId9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HMS-Q1-Excitation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Q1</c:v>
          </c:tx>
          <c:spPr>
            <a:ln w="28575">
              <a:noFill/>
            </a:ln>
          </c:spPr>
          <c:trendline>
            <c:trendlineType val="poly"/>
            <c:order val="4"/>
            <c:intercept val="0"/>
            <c:dispRSqr val="1"/>
            <c:dispEq val="1"/>
            <c:trendlineLbl>
              <c:layout/>
              <c:numFmt formatCode="0.0000E+00" sourceLinked="0"/>
            </c:trendlineLbl>
          </c:trendline>
          <c:xVal>
            <c:numRef>
              <c:f>'HMS-Data'!$C$4:$O$4</c:f>
              <c:numCache>
                <c:formatCode>General</c:formatCode>
                <c:ptCount val="13"/>
                <c:pt idx="0">
                  <c:v>7</c:v>
                </c:pt>
                <c:pt idx="1">
                  <c:v>16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600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1050.6199999999999</c:v>
                </c:pt>
                <c:pt idx="11">
                  <c:v>1100</c:v>
                </c:pt>
                <c:pt idx="12">
                  <c:v>1250</c:v>
                </c:pt>
              </c:numCache>
            </c:numRef>
          </c:xVal>
          <c:yVal>
            <c:numRef>
              <c:f>'HMS-Data'!$C$3:$N$3</c:f>
              <c:numCache>
                <c:formatCode>0.000</c:formatCode>
                <c:ptCount val="12"/>
                <c:pt idx="0">
                  <c:v>5.4800000000000001E-2</c:v>
                </c:pt>
                <c:pt idx="1">
                  <c:v>0.12382</c:v>
                </c:pt>
                <c:pt idx="2">
                  <c:v>0.38472000000000001</c:v>
                </c:pt>
                <c:pt idx="3">
                  <c:v>0.76839999999999997</c:v>
                </c:pt>
                <c:pt idx="4">
                  <c:v>1.53575861</c:v>
                </c:pt>
                <c:pt idx="5">
                  <c:v>3.0704728299999999</c:v>
                </c:pt>
                <c:pt idx="6">
                  <c:v>4.6051870499999996</c:v>
                </c:pt>
                <c:pt idx="7">
                  <c:v>6.1239879999999998</c:v>
                </c:pt>
                <c:pt idx="8">
                  <c:v>6.8484230699999999</c:v>
                </c:pt>
                <c:pt idx="9">
                  <c:v>7.5347256099999997</c:v>
                </c:pt>
                <c:pt idx="10">
                  <c:v>7.8659999999999997</c:v>
                </c:pt>
                <c:pt idx="11">
                  <c:v>8.1783560000000008</c:v>
                </c:pt>
              </c:numCache>
            </c:numRef>
          </c:yVal>
          <c:smooth val="0"/>
        </c:ser>
        <c:ser>
          <c:idx val="1"/>
          <c:order val="1"/>
          <c:tx>
            <c:v>7.4G</c:v>
          </c:tx>
          <c:xVal>
            <c:numRef>
              <c:f>'HMS-Data'!$C$47:$D$47</c:f>
              <c:numCache>
                <c:formatCode>General</c:formatCode>
                <c:ptCount val="2"/>
                <c:pt idx="0">
                  <c:v>0</c:v>
                </c:pt>
                <c:pt idx="1">
                  <c:v>1200</c:v>
                </c:pt>
              </c:numCache>
            </c:numRef>
          </c:xVal>
          <c:yVal>
            <c:numRef>
              <c:f>'HMS-Data'!$C$46:$D$46</c:f>
              <c:numCache>
                <c:formatCode>General</c:formatCode>
                <c:ptCount val="2"/>
                <c:pt idx="0">
                  <c:v>7.4</c:v>
                </c:pt>
                <c:pt idx="1">
                  <c:v>7.4</c:v>
                </c:pt>
              </c:numCache>
            </c:numRef>
          </c:yVal>
          <c:smooth val="0"/>
        </c:ser>
        <c:ser>
          <c:idx val="2"/>
          <c:order val="2"/>
          <c:tx>
            <c:v>Q1-GT03</c:v>
          </c:tx>
          <c:spPr>
            <a:ln w="28575">
              <a:noFill/>
            </a:ln>
          </c:spPr>
          <c:xVal>
            <c:numRef>
              <c:f>'Golden tune 2003'!$C$4:$L$4</c:f>
              <c:numCache>
                <c:formatCode>General</c:formatCode>
                <c:ptCount val="10"/>
                <c:pt idx="0">
                  <c:v>130.18131959138404</c:v>
                </c:pt>
                <c:pt idx="1">
                  <c:v>260.49874124516009</c:v>
                </c:pt>
                <c:pt idx="2">
                  <c:v>390.81616289893611</c:v>
                </c:pt>
                <c:pt idx="3">
                  <c:v>521.13358455271214</c:v>
                </c:pt>
                <c:pt idx="4">
                  <c:v>625.11457926703326</c:v>
                </c:pt>
                <c:pt idx="5">
                  <c:v>651.45834649519725</c:v>
                </c:pt>
                <c:pt idx="6">
                  <c:v>783.31320483233264</c:v>
                </c:pt>
                <c:pt idx="7">
                  <c:v>921.58222417298259</c:v>
                </c:pt>
                <c:pt idx="8">
                  <c:v>979.88102093568784</c:v>
                </c:pt>
                <c:pt idx="9">
                  <c:v>1071.6012257022412</c:v>
                </c:pt>
              </c:numCache>
            </c:numRef>
          </c:xVal>
          <c:yVal>
            <c:numRef>
              <c:f>'Golden tune 2003'!$C$2:$L$2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4.7979055554872403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7.4</c:v>
                </c:pt>
                <c:pt idx="9">
                  <c:v>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037888"/>
        <c:axId val="114040192"/>
      </c:scatterChart>
      <c:valAx>
        <c:axId val="114037888"/>
        <c:scaling>
          <c:orientation val="minMax"/>
          <c:max val="12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 PSU</a:t>
                </a:r>
                <a:r>
                  <a:rPr lang="en-US" baseline="0"/>
                  <a:t> Current [A]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cross"/>
        <c:minorTickMark val="in"/>
        <c:tickLblPos val="nextTo"/>
        <c:crossAx val="114040192"/>
        <c:crosses val="autoZero"/>
        <c:crossBetween val="midCat"/>
      </c:valAx>
      <c:valAx>
        <c:axId val="1140401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>
                    <a:effectLst/>
                  </a:rPr>
                  <a:t>Momentum GeV/c</a:t>
                </a:r>
                <a:endParaRPr lang="en-US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layout/>
          <c:overlay val="0"/>
        </c:title>
        <c:numFmt formatCode="0" sourceLinked="0"/>
        <c:majorTickMark val="cross"/>
        <c:minorTickMark val="in"/>
        <c:tickLblPos val="nextTo"/>
        <c:crossAx val="114037888"/>
        <c:crosses val="autoZero"/>
        <c:crossBetween val="midCat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HMS-Q2-Excitation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7.4</c:v>
          </c:tx>
          <c:xVal>
            <c:numRef>
              <c:f>'HMS-Data'!$C$47:$D$47</c:f>
              <c:numCache>
                <c:formatCode>General</c:formatCode>
                <c:ptCount val="2"/>
                <c:pt idx="0">
                  <c:v>0</c:v>
                </c:pt>
                <c:pt idx="1">
                  <c:v>1200</c:v>
                </c:pt>
              </c:numCache>
            </c:numRef>
          </c:xVal>
          <c:yVal>
            <c:numRef>
              <c:f>'HMS-Data'!$C$46:$D$46</c:f>
              <c:numCache>
                <c:formatCode>General</c:formatCode>
                <c:ptCount val="2"/>
                <c:pt idx="0">
                  <c:v>7.4</c:v>
                </c:pt>
                <c:pt idx="1">
                  <c:v>7.4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594368"/>
        <c:axId val="97608448"/>
      </c:scatterChart>
      <c:scatterChart>
        <c:scatterStyle val="lineMarker"/>
        <c:varyColors val="0"/>
        <c:ser>
          <c:idx val="0"/>
          <c:order val="0"/>
          <c:tx>
            <c:v>Q2</c:v>
          </c:tx>
          <c:spPr>
            <a:ln w="28575">
              <a:noFill/>
            </a:ln>
          </c:spPr>
          <c:trendline>
            <c:trendlineType val="poly"/>
            <c:order val="4"/>
            <c:intercept val="0"/>
            <c:dispRSqr val="1"/>
            <c:dispEq val="1"/>
            <c:trendlineLbl>
              <c:layout/>
              <c:numFmt formatCode="0.0000E+00" sourceLinked="0"/>
            </c:trendlineLbl>
          </c:trendline>
          <c:xVal>
            <c:numRef>
              <c:f>'HMS-Data'!$C$18:$O$18</c:f>
              <c:numCache>
                <c:formatCode>General</c:formatCode>
                <c:ptCount val="13"/>
                <c:pt idx="0">
                  <c:v>10.18</c:v>
                </c:pt>
                <c:pt idx="1">
                  <c:v>47.37</c:v>
                </c:pt>
                <c:pt idx="2">
                  <c:v>106.25</c:v>
                </c:pt>
                <c:pt idx="3">
                  <c:v>212.49</c:v>
                </c:pt>
                <c:pt idx="4">
                  <c:v>341.12</c:v>
                </c:pt>
                <c:pt idx="5">
                  <c:v>395.78</c:v>
                </c:pt>
                <c:pt idx="6">
                  <c:v>454.85</c:v>
                </c:pt>
                <c:pt idx="7">
                  <c:v>568.53</c:v>
                </c:pt>
                <c:pt idx="8">
                  <c:v>635.99</c:v>
                </c:pt>
                <c:pt idx="9">
                  <c:v>814.55</c:v>
                </c:pt>
                <c:pt idx="10">
                  <c:v>911.66</c:v>
                </c:pt>
                <c:pt idx="11">
                  <c:v>916.36</c:v>
                </c:pt>
                <c:pt idx="12">
                  <c:v>1023</c:v>
                </c:pt>
              </c:numCache>
            </c:numRef>
          </c:xVal>
          <c:yVal>
            <c:numRef>
              <c:f>'HMS-Data'!$C$16:$O$16</c:f>
              <c:numCache>
                <c:formatCode>0.000</c:formatCode>
                <c:ptCount val="13"/>
                <c:pt idx="0">
                  <c:v>0.10100000000000001</c:v>
                </c:pt>
                <c:pt idx="1">
                  <c:v>0.46</c:v>
                </c:pt>
                <c:pt idx="2">
                  <c:v>1.028</c:v>
                </c:pt>
                <c:pt idx="3">
                  <c:v>2.0524399999999998</c:v>
                </c:pt>
                <c:pt idx="4">
                  <c:v>3.3170000000000002</c:v>
                </c:pt>
                <c:pt idx="6">
                  <c:v>4.3903999999999996</c:v>
                </c:pt>
                <c:pt idx="7">
                  <c:v>5.4580500000000001</c:v>
                </c:pt>
                <c:pt idx="8">
                  <c:v>6.0354999999999999</c:v>
                </c:pt>
                <c:pt idx="9">
                  <c:v>7.3068080000000002</c:v>
                </c:pt>
                <c:pt idx="10">
                  <c:v>7.8659999999999997</c:v>
                </c:pt>
                <c:pt idx="11">
                  <c:v>7.8911860000000003</c:v>
                </c:pt>
                <c:pt idx="12">
                  <c:v>8.4231300000000005</c:v>
                </c:pt>
              </c:numCache>
            </c:numRef>
          </c:yVal>
          <c:smooth val="0"/>
        </c:ser>
        <c:ser>
          <c:idx val="2"/>
          <c:order val="2"/>
          <c:tx>
            <c:v>Q2-GT03</c:v>
          </c:tx>
          <c:spPr>
            <a:ln w="28575">
              <a:noFill/>
            </a:ln>
          </c:spPr>
          <c:xVal>
            <c:numRef>
              <c:f>'Golden tune 2003'!$C$10:$L$10</c:f>
              <c:numCache>
                <c:formatCode>General</c:formatCode>
                <c:ptCount val="10"/>
                <c:pt idx="0">
                  <c:v>103.39132895804224</c:v>
                </c:pt>
                <c:pt idx="1">
                  <c:v>207.05388288934049</c:v>
                </c:pt>
                <c:pt idx="2">
                  <c:v>310.71643682063876</c:v>
                </c:pt>
                <c:pt idx="3">
                  <c:v>414.37899075193695</c:v>
                </c:pt>
                <c:pt idx="4">
                  <c:v>450.95153596104939</c:v>
                </c:pt>
                <c:pt idx="5">
                  <c:v>518.64497358604126</c:v>
                </c:pt>
                <c:pt idx="6">
                  <c:v>631.65252186609678</c:v>
                </c:pt>
                <c:pt idx="7">
                  <c:v>766.65967358342891</c:v>
                </c:pt>
                <c:pt idx="8">
                  <c:v>829.81411981108295</c:v>
                </c:pt>
                <c:pt idx="9">
                  <c:v>937.02221703394707</c:v>
                </c:pt>
              </c:numCache>
            </c:numRef>
          </c:xVal>
          <c:yVal>
            <c:numRef>
              <c:f>'Golden tune 2003'!$C$8:$L$8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4.3528038218443923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7.4</c:v>
                </c:pt>
                <c:pt idx="9">
                  <c:v>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594368"/>
        <c:axId val="97608448"/>
      </c:scatterChart>
      <c:valAx>
        <c:axId val="97594368"/>
        <c:scaling>
          <c:orientation val="minMax"/>
          <c:max val="12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 PSU</a:t>
                </a:r>
                <a:r>
                  <a:rPr lang="en-US" baseline="0"/>
                  <a:t> Current [A]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cross"/>
        <c:minorTickMark val="in"/>
        <c:tickLblPos val="nextTo"/>
        <c:crossAx val="97608448"/>
        <c:crosses val="autoZero"/>
        <c:crossBetween val="midCat"/>
      </c:valAx>
      <c:valAx>
        <c:axId val="976084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>
                    <a:effectLst/>
                  </a:rPr>
                  <a:t>Momentum GeV/c</a:t>
                </a:r>
                <a:endParaRPr lang="en-US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layout/>
          <c:overlay val="0"/>
        </c:title>
        <c:numFmt formatCode="0" sourceLinked="0"/>
        <c:majorTickMark val="cross"/>
        <c:minorTickMark val="in"/>
        <c:tickLblPos val="nextTo"/>
        <c:crossAx val="97594368"/>
        <c:crosses val="autoZero"/>
        <c:crossBetween val="midCat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HMS-Q3-Excitation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7.4</c:v>
          </c:tx>
          <c:xVal>
            <c:numRef>
              <c:f>'HMS-Data'!$C$47:$D$47</c:f>
              <c:numCache>
                <c:formatCode>General</c:formatCode>
                <c:ptCount val="2"/>
                <c:pt idx="0">
                  <c:v>0</c:v>
                </c:pt>
                <c:pt idx="1">
                  <c:v>1200</c:v>
                </c:pt>
              </c:numCache>
            </c:numRef>
          </c:xVal>
          <c:yVal>
            <c:numRef>
              <c:f>'HMS-Data'!$C$46:$D$46</c:f>
              <c:numCache>
                <c:formatCode>General</c:formatCode>
                <c:ptCount val="2"/>
                <c:pt idx="0">
                  <c:v>7.4</c:v>
                </c:pt>
                <c:pt idx="1">
                  <c:v>7.4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012608"/>
        <c:axId val="143014912"/>
      </c:scatterChart>
      <c:scatterChart>
        <c:scatterStyle val="lineMarker"/>
        <c:varyColors val="0"/>
        <c:ser>
          <c:idx val="0"/>
          <c:order val="0"/>
          <c:tx>
            <c:v>Q3</c:v>
          </c:tx>
          <c:spPr>
            <a:ln w="28575">
              <a:noFill/>
            </a:ln>
          </c:spPr>
          <c:trendline>
            <c:trendlineType val="poly"/>
            <c:order val="4"/>
            <c:intercept val="0"/>
            <c:dispRSqr val="1"/>
            <c:dispEq val="1"/>
            <c:trendlineLbl>
              <c:layout/>
              <c:numFmt formatCode="0.0000E+00" sourceLinked="0"/>
            </c:trendlineLbl>
          </c:trendline>
          <c:xVal>
            <c:numRef>
              <c:f>'HMS-Data'!$C$18:$P$18</c:f>
              <c:numCache>
                <c:formatCode>General</c:formatCode>
                <c:ptCount val="14"/>
                <c:pt idx="0">
                  <c:v>10.18</c:v>
                </c:pt>
                <c:pt idx="1">
                  <c:v>47.37</c:v>
                </c:pt>
                <c:pt idx="2">
                  <c:v>106.25</c:v>
                </c:pt>
                <c:pt idx="3">
                  <c:v>212.49</c:v>
                </c:pt>
                <c:pt idx="4">
                  <c:v>341.12</c:v>
                </c:pt>
                <c:pt idx="5">
                  <c:v>395.78</c:v>
                </c:pt>
                <c:pt idx="6">
                  <c:v>454.85</c:v>
                </c:pt>
                <c:pt idx="7">
                  <c:v>568.53</c:v>
                </c:pt>
                <c:pt idx="8">
                  <c:v>635.99</c:v>
                </c:pt>
                <c:pt idx="9">
                  <c:v>814.55</c:v>
                </c:pt>
                <c:pt idx="10">
                  <c:v>911.66</c:v>
                </c:pt>
                <c:pt idx="11">
                  <c:v>916.36</c:v>
                </c:pt>
                <c:pt idx="12">
                  <c:v>1023</c:v>
                </c:pt>
                <c:pt idx="13">
                  <c:v>1250</c:v>
                </c:pt>
              </c:numCache>
            </c:numRef>
          </c:xVal>
          <c:yVal>
            <c:numRef>
              <c:f>'HMS-Data'!$C$17:$J$17</c:f>
              <c:numCache>
                <c:formatCode>0.000</c:formatCode>
                <c:ptCount val="8"/>
                <c:pt idx="0">
                  <c:v>0.19400000000000001</c:v>
                </c:pt>
                <c:pt idx="1">
                  <c:v>0.93400000000000005</c:v>
                </c:pt>
                <c:pt idx="2">
                  <c:v>2.1055000000000001</c:v>
                </c:pt>
                <c:pt idx="3">
                  <c:v>4.2192999999999996</c:v>
                </c:pt>
                <c:pt idx="4">
                  <c:v>6.7785000000000002</c:v>
                </c:pt>
                <c:pt idx="5">
                  <c:v>7.8659999999999997</c:v>
                </c:pt>
                <c:pt idx="6">
                  <c:v>9.0410000000000004</c:v>
                </c:pt>
                <c:pt idx="7">
                  <c:v>11.224600000000001</c:v>
                </c:pt>
              </c:numCache>
            </c:numRef>
          </c:yVal>
          <c:smooth val="0"/>
        </c:ser>
        <c:ser>
          <c:idx val="2"/>
          <c:order val="2"/>
          <c:tx>
            <c:v>Q3-GT03</c:v>
          </c:tx>
          <c:spPr>
            <a:ln w="28575">
              <a:noFill/>
            </a:ln>
          </c:spPr>
          <c:xVal>
            <c:numRef>
              <c:f>'Golden tune 2003'!$C$16:$L$16</c:f>
              <c:numCache>
                <c:formatCode>General</c:formatCode>
                <c:ptCount val="10"/>
                <c:pt idx="0">
                  <c:v>50.737368549474681</c:v>
                </c:pt>
                <c:pt idx="1">
                  <c:v>101.74008716303737</c:v>
                </c:pt>
                <c:pt idx="2">
                  <c:v>152.74280577660008</c:v>
                </c:pt>
                <c:pt idx="3">
                  <c:v>203.74552439016276</c:v>
                </c:pt>
                <c:pt idx="4">
                  <c:v>254.74824300372541</c:v>
                </c:pt>
                <c:pt idx="5">
                  <c:v>305.75096161728811</c:v>
                </c:pt>
                <c:pt idx="6">
                  <c:v>356.75368023085076</c:v>
                </c:pt>
                <c:pt idx="7">
                  <c:v>407.75639884441347</c:v>
                </c:pt>
                <c:pt idx="8">
                  <c:v>377.15476767627581</c:v>
                </c:pt>
                <c:pt idx="9">
                  <c:v>445.5649786176395</c:v>
                </c:pt>
              </c:numCache>
            </c:numRef>
          </c:xVal>
          <c:yVal>
            <c:numRef>
              <c:f>'Golden tune 2003'!$C$14:$J$14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012608"/>
        <c:axId val="143014912"/>
      </c:scatterChart>
      <c:valAx>
        <c:axId val="143012608"/>
        <c:scaling>
          <c:orientation val="minMax"/>
          <c:max val="12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 PSU</a:t>
                </a:r>
                <a:r>
                  <a:rPr lang="en-US" baseline="0"/>
                  <a:t> Current [A]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cross"/>
        <c:minorTickMark val="in"/>
        <c:tickLblPos val="nextTo"/>
        <c:crossAx val="143014912"/>
        <c:crosses val="autoZero"/>
        <c:crossBetween val="midCat"/>
      </c:valAx>
      <c:valAx>
        <c:axId val="143014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>
                    <a:effectLst/>
                  </a:rPr>
                  <a:t>Momentum GeV/c</a:t>
                </a:r>
                <a:endParaRPr lang="en-US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layout/>
          <c:overlay val="0"/>
        </c:title>
        <c:numFmt formatCode="0" sourceLinked="0"/>
        <c:majorTickMark val="cross"/>
        <c:minorTickMark val="in"/>
        <c:tickLblPos val="nextTo"/>
        <c:crossAx val="143012608"/>
        <c:crosses val="autoZero"/>
        <c:crossBetween val="midCat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HMS-Dipole-Excitation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4470872947277436E-2"/>
          <c:y val="7.8775396825396832E-2"/>
          <c:w val="0.90751668107173722"/>
          <c:h val="0.82192936507936509"/>
        </c:manualLayout>
      </c:layout>
      <c:scatterChart>
        <c:scatterStyle val="smoothMarker"/>
        <c:varyColors val="0"/>
        <c:ser>
          <c:idx val="1"/>
          <c:order val="1"/>
          <c:tx>
            <c:v>7.4</c:v>
          </c:tx>
          <c:xVal>
            <c:numRef>
              <c:f>'HMS-Data'!$C$49:$D$49</c:f>
              <c:numCache>
                <c:formatCode>General</c:formatCode>
                <c:ptCount val="2"/>
                <c:pt idx="0">
                  <c:v>0</c:v>
                </c:pt>
                <c:pt idx="1">
                  <c:v>2.5</c:v>
                </c:pt>
              </c:numCache>
            </c:numRef>
          </c:xVal>
          <c:yVal>
            <c:numRef>
              <c:f>'HMS-Data'!$C$46:$D$46</c:f>
              <c:numCache>
                <c:formatCode>General</c:formatCode>
                <c:ptCount val="2"/>
                <c:pt idx="0">
                  <c:v>7.4</c:v>
                </c:pt>
                <c:pt idx="1">
                  <c:v>7.4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011840"/>
        <c:axId val="143690752"/>
      </c:scatterChart>
      <c:scatterChart>
        <c:scatterStyle val="lineMarker"/>
        <c:varyColors val="0"/>
        <c:ser>
          <c:idx val="0"/>
          <c:order val="0"/>
          <c:tx>
            <c:v>Excitation</c:v>
          </c:tx>
          <c:spPr>
            <a:ln w="28575">
              <a:noFill/>
            </a:ln>
          </c:spPr>
          <c:trendline>
            <c:trendlineType val="linear"/>
            <c:intercept val="0"/>
            <c:dispRSqr val="0"/>
            <c:dispEq val="0"/>
          </c:trendline>
          <c:xVal>
            <c:numRef>
              <c:f>'HMS-Data'!$C$35:$Q$35</c:f>
              <c:numCache>
                <c:formatCode>0.00</c:formatCode>
                <c:ptCount val="15"/>
                <c:pt idx="0">
                  <c:v>8.9462E-2</c:v>
                </c:pt>
                <c:pt idx="1">
                  <c:v>0.298205</c:v>
                </c:pt>
                <c:pt idx="2">
                  <c:v>0.447301</c:v>
                </c:pt>
                <c:pt idx="3">
                  <c:v>0.59635099999999996</c:v>
                </c:pt>
                <c:pt idx="4">
                  <c:v>0.83696300000000001</c:v>
                </c:pt>
                <c:pt idx="5">
                  <c:v>1.2287699999999999</c:v>
                </c:pt>
                <c:pt idx="6">
                  <c:v>1.3318700000000001</c:v>
                </c:pt>
                <c:pt idx="7">
                  <c:v>1.5169600000000001</c:v>
                </c:pt>
                <c:pt idx="8">
                  <c:v>1.6709400000000001</c:v>
                </c:pt>
                <c:pt idx="9">
                  <c:v>1.80139</c:v>
                </c:pt>
                <c:pt idx="10">
                  <c:v>1.91076</c:v>
                </c:pt>
                <c:pt idx="11">
                  <c:v>2.0012099999999999</c:v>
                </c:pt>
                <c:pt idx="12">
                  <c:v>2.0771299999999999</c:v>
                </c:pt>
                <c:pt idx="13">
                  <c:v>2.1157041920000004</c:v>
                </c:pt>
                <c:pt idx="14">
                  <c:v>2.1620849999999994</c:v>
                </c:pt>
              </c:numCache>
            </c:numRef>
          </c:xVal>
          <c:yVal>
            <c:numRef>
              <c:f>'HMS-Data'!$C$30:$Q$30</c:f>
              <c:numCache>
                <c:formatCode>0.000</c:formatCode>
                <c:ptCount val="15"/>
                <c:pt idx="0">
                  <c:v>0.32548411222991397</c:v>
                </c:pt>
                <c:pt idx="1">
                  <c:v>1.0849409770351826</c:v>
                </c:pt>
                <c:pt idx="2">
                  <c:v>1.6273878170011038</c:v>
                </c:pt>
                <c:pt idx="3">
                  <c:v>2.1696672979859764</c:v>
                </c:pt>
                <c:pt idx="4">
                  <c:v>3.0450711925095066</c:v>
                </c:pt>
                <c:pt idx="5">
                  <c:v>4.4705585900689826</c:v>
                </c:pt>
                <c:pt idx="6">
                  <c:v>4.8456610019411093</c:v>
                </c:pt>
                <c:pt idx="7">
                  <c:v>5.5190626063388963</c:v>
                </c:pt>
                <c:pt idx="8">
                  <c:v>6.0792786042057241</c:v>
                </c:pt>
                <c:pt idx="9">
                  <c:v>6.5538868450274386</c:v>
                </c:pt>
                <c:pt idx="10">
                  <c:v>6.9518010136642419</c:v>
                </c:pt>
                <c:pt idx="11">
                  <c:v>7.2808797057479833</c:v>
                </c:pt>
                <c:pt idx="12">
                  <c:v>7.5570947892526563</c:v>
                </c:pt>
                <c:pt idx="13">
                  <c:v>7.6974369081199567</c:v>
                </c:pt>
                <c:pt idx="14">
                  <c:v>7.8661813595785173</c:v>
                </c:pt>
              </c:numCache>
            </c:numRef>
          </c:yVal>
          <c:smooth val="0"/>
        </c:ser>
        <c:ser>
          <c:idx val="2"/>
          <c:order val="2"/>
          <c:tx>
            <c:v>Dipole-GT-3</c:v>
          </c:tx>
          <c:spPr>
            <a:ln w="28575">
              <a:noFill/>
            </a:ln>
          </c:spPr>
          <c:trendline>
            <c:trendlineType val="linear"/>
            <c:intercept val="0"/>
            <c:dispRSqr val="0"/>
            <c:dispEq val="0"/>
          </c:trendline>
          <c:trendline>
            <c:trendlineType val="linear"/>
            <c:intercept val="0"/>
            <c:dispRSqr val="0"/>
            <c:dispEq val="0"/>
          </c:trendline>
          <c:xVal>
            <c:numRef>
              <c:f>'Golden tune 2003'!$C$21:$L$21</c:f>
              <c:numCache>
                <c:formatCode>General</c:formatCode>
                <c:ptCount val="10"/>
                <c:pt idx="0">
                  <c:v>0.27485827000000002</c:v>
                </c:pt>
                <c:pt idx="1">
                  <c:v>0.54971654000000003</c:v>
                </c:pt>
                <c:pt idx="2">
                  <c:v>0.8245748100000001</c:v>
                </c:pt>
                <c:pt idx="3">
                  <c:v>1.0994330800000001</c:v>
                </c:pt>
                <c:pt idx="5">
                  <c:v>1.37429135</c:v>
                </c:pt>
                <c:pt idx="6">
                  <c:v>1.6491496200000002</c:v>
                </c:pt>
                <c:pt idx="7">
                  <c:v>1.9240078900000002</c:v>
                </c:pt>
                <c:pt idx="8">
                  <c:v>2.033951198</c:v>
                </c:pt>
                <c:pt idx="9">
                  <c:v>2.1988661600000001</c:v>
                </c:pt>
              </c:numCache>
            </c:numRef>
          </c:xVal>
          <c:yVal>
            <c:numRef>
              <c:f>'Golden tune 2003'!$C$20:$L$20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7.4</c:v>
                </c:pt>
                <c:pt idx="9">
                  <c:v>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011840"/>
        <c:axId val="143690752"/>
      </c:scatterChart>
      <c:valAx>
        <c:axId val="143011840"/>
        <c:scaling>
          <c:orientation val="minMax"/>
          <c:max val="2.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Field</a:t>
                </a:r>
                <a:r>
                  <a:rPr lang="en-US" baseline="0"/>
                  <a:t> </a:t>
                </a:r>
                <a:r>
                  <a:rPr lang="en-US"/>
                  <a:t>[T]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in"/>
        <c:tickLblPos val="nextTo"/>
        <c:crossAx val="143690752"/>
        <c:crosses val="autoZero"/>
        <c:crossBetween val="midCat"/>
      </c:valAx>
      <c:valAx>
        <c:axId val="1436907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Momentum GeV/c</a:t>
                </a:r>
              </a:p>
            </c:rich>
          </c:tx>
          <c:layout/>
          <c:overlay val="0"/>
        </c:title>
        <c:numFmt formatCode="0" sourceLinked="0"/>
        <c:majorTickMark val="cross"/>
        <c:minorTickMark val="in"/>
        <c:tickLblPos val="nextTo"/>
        <c:crossAx val="143011840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HMS-Dipole-Excitation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4470872947277436E-2"/>
          <c:y val="8.8854761904761909E-2"/>
          <c:w val="0.89141757418611345"/>
          <c:h val="0.81386587301587299"/>
        </c:manualLayout>
      </c:layout>
      <c:scatterChart>
        <c:scatterStyle val="smoothMarker"/>
        <c:varyColors val="0"/>
        <c:ser>
          <c:idx val="0"/>
          <c:order val="0"/>
          <c:tx>
            <c:v>Momentum</c:v>
          </c:tx>
          <c:xVal>
            <c:numRef>
              <c:f>'HMS-Data'!$C$54:$P$54</c:f>
              <c:numCache>
                <c:formatCode>General</c:formatCode>
                <c:ptCount val="14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1200</c:v>
                </c:pt>
                <c:pt idx="4">
                  <c:v>1400</c:v>
                </c:pt>
                <c:pt idx="5">
                  <c:v>1600</c:v>
                </c:pt>
                <c:pt idx="6">
                  <c:v>1800</c:v>
                </c:pt>
                <c:pt idx="7">
                  <c:v>2000</c:v>
                </c:pt>
                <c:pt idx="8">
                  <c:v>2200</c:v>
                </c:pt>
                <c:pt idx="9">
                  <c:v>2400</c:v>
                </c:pt>
                <c:pt idx="10">
                  <c:v>2600</c:v>
                </c:pt>
                <c:pt idx="11">
                  <c:v>2800</c:v>
                </c:pt>
                <c:pt idx="12">
                  <c:v>2868.7778395427672</c:v>
                </c:pt>
                <c:pt idx="13">
                  <c:v>3000</c:v>
                </c:pt>
              </c:numCache>
            </c:numRef>
          </c:xVal>
          <c:yVal>
            <c:numRef>
              <c:f>'HMS-Data'!$C$56:$P$56</c:f>
              <c:numCache>
                <c:formatCode>General</c:formatCode>
                <c:ptCount val="14"/>
                <c:pt idx="0">
                  <c:v>0.32736840676826279</c:v>
                </c:pt>
                <c:pt idx="1">
                  <c:v>1.6054146436202374</c:v>
                </c:pt>
                <c:pt idx="2">
                  <c:v>3.2343355213579712</c:v>
                </c:pt>
                <c:pt idx="3">
                  <c:v>3.8848098828560045</c:v>
                </c:pt>
                <c:pt idx="4">
                  <c:v>4.5074438735615132</c:v>
                </c:pt>
                <c:pt idx="5">
                  <c:v>5.0841543173246944</c:v>
                </c:pt>
                <c:pt idx="6">
                  <c:v>5.6019419790241134</c:v>
                </c:pt>
                <c:pt idx="7">
                  <c:v>6.0548201769588399</c:v>
                </c:pt>
                <c:pt idx="8">
                  <c:v>6.4441846993369492</c:v>
                </c:pt>
                <c:pt idx="9">
                  <c:v>6.7776250248604724</c:v>
                </c:pt>
                <c:pt idx="10">
                  <c:v>7.0661768474066928</c:v>
                </c:pt>
                <c:pt idx="11">
                  <c:v>7.3200159048058637</c:v>
                </c:pt>
                <c:pt idx="12">
                  <c:v>7.4002478440481614</c:v>
                </c:pt>
                <c:pt idx="13">
                  <c:v>7.5425931117153686</c:v>
                </c:pt>
              </c:numCache>
            </c:numRef>
          </c:yVal>
          <c:smooth val="1"/>
        </c:ser>
        <c:ser>
          <c:idx val="1"/>
          <c:order val="1"/>
          <c:tx>
            <c:v> </c:v>
          </c:tx>
          <c:xVal>
            <c:numRef>
              <c:f>'HMS-Data'!$C$48:$D$48</c:f>
              <c:numCache>
                <c:formatCode>General</c:formatCode>
                <c:ptCount val="2"/>
                <c:pt idx="0">
                  <c:v>0</c:v>
                </c:pt>
                <c:pt idx="1">
                  <c:v>3000</c:v>
                </c:pt>
              </c:numCache>
            </c:numRef>
          </c:xVal>
          <c:yVal>
            <c:numRef>
              <c:f>'HMS-Data'!$C$46:$D$46</c:f>
              <c:numCache>
                <c:formatCode>General</c:formatCode>
                <c:ptCount val="2"/>
                <c:pt idx="0">
                  <c:v>7.4</c:v>
                </c:pt>
                <c:pt idx="1">
                  <c:v>7.4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076416"/>
        <c:axId val="46912640"/>
      </c:scatterChart>
      <c:scatterChart>
        <c:scatterStyle val="smoothMarker"/>
        <c:varyColors val="0"/>
        <c:ser>
          <c:idx val="5"/>
          <c:order val="2"/>
          <c:tx>
            <c:v>Field</c:v>
          </c:tx>
          <c:xVal>
            <c:numRef>
              <c:f>'HMS-Data'!$C$54:$W$54</c:f>
              <c:numCache>
                <c:formatCode>General</c:formatCode>
                <c:ptCount val="21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1200</c:v>
                </c:pt>
                <c:pt idx="4">
                  <c:v>1400</c:v>
                </c:pt>
                <c:pt idx="5">
                  <c:v>1600</c:v>
                </c:pt>
                <c:pt idx="6">
                  <c:v>1800</c:v>
                </c:pt>
                <c:pt idx="7">
                  <c:v>2000</c:v>
                </c:pt>
                <c:pt idx="8">
                  <c:v>2200</c:v>
                </c:pt>
                <c:pt idx="9">
                  <c:v>2400</c:v>
                </c:pt>
                <c:pt idx="10">
                  <c:v>2600</c:v>
                </c:pt>
                <c:pt idx="11">
                  <c:v>2800</c:v>
                </c:pt>
                <c:pt idx="12">
                  <c:v>2868.7778395427672</c:v>
                </c:pt>
                <c:pt idx="13">
                  <c:v>3000</c:v>
                </c:pt>
              </c:numCache>
            </c:numRef>
          </c:xVal>
          <c:yVal>
            <c:numRef>
              <c:f>'HMS-Data'!$C$55:$W$55</c:f>
              <c:numCache>
                <c:formatCode>General</c:formatCode>
                <c:ptCount val="21"/>
                <c:pt idx="0">
                  <c:v>8.9979913936981001E-2</c:v>
                </c:pt>
                <c:pt idx="1">
                  <c:v>0.441261491578125</c:v>
                </c:pt>
                <c:pt idx="2">
                  <c:v>0.88898386600000012</c:v>
                </c:pt>
                <c:pt idx="3">
                  <c:v>1.0677721236807041</c:v>
                </c:pt>
                <c:pt idx="4">
                  <c:v>1.2389082252092163</c:v>
                </c:pt>
                <c:pt idx="5">
                  <c:v>1.3974218600728967</c:v>
                </c:pt>
                <c:pt idx="6">
                  <c:v>1.5397400809949442</c:v>
                </c:pt>
                <c:pt idx="7">
                  <c:v>1.6642173990000007</c:v>
                </c:pt>
                <c:pt idx="8">
                  <c:v>1.7712374580202241</c:v>
                </c:pt>
                <c:pt idx="9">
                  <c:v>1.8628862890418565</c:v>
                </c:pt>
                <c:pt idx="10">
                  <c:v>1.9421971437922576</c:v>
                </c:pt>
                <c:pt idx="11">
                  <c:v>2.0119669079674245</c:v>
                </c:pt>
                <c:pt idx="12">
                  <c:v>2.0340193199863075</c:v>
                </c:pt>
                <c:pt idx="13">
                  <c:v>2.073144094000003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305728"/>
        <c:axId val="142850304"/>
      </c:scatterChart>
      <c:valAx>
        <c:axId val="44076416"/>
        <c:scaling>
          <c:orientation val="minMax"/>
          <c:max val="30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PSU current [A]</a:t>
                </a:r>
              </a:p>
            </c:rich>
          </c:tx>
          <c:layout/>
          <c:overlay val="0"/>
        </c:title>
        <c:numFmt formatCode="0" sourceLinked="0"/>
        <c:majorTickMark val="cross"/>
        <c:minorTickMark val="in"/>
        <c:tickLblPos val="nextTo"/>
        <c:crossAx val="46912640"/>
        <c:crosses val="autoZero"/>
        <c:crossBetween val="midCat"/>
      </c:valAx>
      <c:valAx>
        <c:axId val="469126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Momentum GeV/c</a:t>
                </a:r>
              </a:p>
            </c:rich>
          </c:tx>
          <c:layout/>
          <c:overlay val="0"/>
        </c:title>
        <c:numFmt formatCode="0" sourceLinked="0"/>
        <c:majorTickMark val="cross"/>
        <c:minorTickMark val="in"/>
        <c:tickLblPos val="nextTo"/>
        <c:crossAx val="44076416"/>
        <c:crosses val="autoZero"/>
        <c:crossBetween val="midCat"/>
      </c:valAx>
      <c:valAx>
        <c:axId val="14285030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Field [T]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3305728"/>
        <c:crosses val="max"/>
        <c:crossBetween val="midCat"/>
      </c:valAx>
      <c:valAx>
        <c:axId val="203305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2850304"/>
        <c:crossBetween val="midCat"/>
      </c:valAx>
    </c:plotArea>
    <c:legend>
      <c:legendPos val="t"/>
      <c:layout>
        <c:manualLayout>
          <c:xMode val="edge"/>
          <c:yMode val="edge"/>
          <c:x val="0.18534197637568425"/>
          <c:y val="0.1088068253968254"/>
          <c:w val="0.24994364736387209"/>
          <c:h val="3.6452857142857141E-2"/>
        </c:manualLayout>
      </c:layout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34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34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34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tabSelected="1" zoomScale="13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907" cy="629076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4907" cy="629076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4907" cy="629076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7500" cy="6300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0.61027</cdr:x>
      <cdr:y>0.1038</cdr:y>
    </cdr:from>
    <cdr:to>
      <cdr:x>0.83144</cdr:x>
      <cdr:y>0.18842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295616" y="653955"/>
          <a:ext cx="1919216" cy="5331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Golden Tune 2003</a:t>
          </a:r>
        </a:p>
        <a:p xmlns:a="http://schemas.openxmlformats.org/drawingml/2006/main">
          <a:r>
            <a:rPr lang="en-US" sz="1100"/>
            <a:t>B =</a:t>
          </a:r>
          <a:r>
            <a:rPr lang="en-US" sz="1100" baseline="0"/>
            <a:t> 0.27485827* GeV/c</a:t>
          </a:r>
          <a:endParaRPr lang="en-US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77500" cy="6300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0.0385</cdr:x>
      <cdr:y>0.49419</cdr:y>
    </cdr:from>
    <cdr:to>
      <cdr:x>0.41122</cdr:x>
      <cdr:y>0.49532</cdr:y>
    </cdr:to>
    <cdr:cxnSp macro="">
      <cdr:nvCxnSpPr>
        <cdr:cNvPr id="3" name="Straight Arrow Connector 2"/>
        <cdr:cNvCxnSpPr/>
      </cdr:nvCxnSpPr>
      <cdr:spPr>
        <a:xfrm xmlns:a="http://schemas.openxmlformats.org/drawingml/2006/main">
          <a:off x="334086" y="3113396"/>
          <a:ext cx="3234235" cy="7108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0.49641</cdr:x>
      <cdr:y>0.4987</cdr:y>
    </cdr:from>
    <cdr:to>
      <cdr:x>0.98217</cdr:x>
      <cdr:y>0.50209</cdr:y>
    </cdr:to>
    <cdr:cxnSp macro="">
      <cdr:nvCxnSpPr>
        <cdr:cNvPr id="5" name="Straight Arrow Connector 4"/>
        <cdr:cNvCxnSpPr/>
      </cdr:nvCxnSpPr>
      <cdr:spPr>
        <a:xfrm xmlns:a="http://schemas.openxmlformats.org/drawingml/2006/main" flipH="1" flipV="1">
          <a:off x="4307575" y="3141828"/>
          <a:ext cx="4215168" cy="2132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opLeftCell="B17" workbookViewId="0">
      <selection activeCell="O50" sqref="O50"/>
    </sheetView>
  </sheetViews>
  <sheetFormatPr defaultRowHeight="15" x14ac:dyDescent="0.25"/>
  <cols>
    <col min="1" max="1" width="16.5703125" customWidth="1"/>
    <col min="2" max="2" width="15.140625" style="1" customWidth="1"/>
  </cols>
  <sheetData>
    <row r="1" spans="1:17" x14ac:dyDescent="0.25">
      <c r="A1" t="s">
        <v>20</v>
      </c>
      <c r="B1" s="1" t="s">
        <v>18</v>
      </c>
    </row>
    <row r="2" spans="1:17" x14ac:dyDescent="0.25">
      <c r="A2" s="1" t="s">
        <v>16</v>
      </c>
      <c r="B2" s="1" t="s">
        <v>43</v>
      </c>
      <c r="C2" t="s">
        <v>17</v>
      </c>
    </row>
    <row r="3" spans="1:17" x14ac:dyDescent="0.25">
      <c r="A3" s="1" t="s">
        <v>0</v>
      </c>
      <c r="B3" s="1" t="s">
        <v>1</v>
      </c>
      <c r="C3" s="3">
        <v>5.4800000000000001E-2</v>
      </c>
      <c r="D3" s="3">
        <v>0.12382</v>
      </c>
      <c r="E3" s="3">
        <v>0.38472000000000001</v>
      </c>
      <c r="F3" s="3">
        <v>0.76839999999999997</v>
      </c>
      <c r="G3" s="3">
        <v>1.53575861</v>
      </c>
      <c r="H3" s="3">
        <v>3.0704728299999999</v>
      </c>
      <c r="I3" s="3">
        <v>4.6051870499999996</v>
      </c>
      <c r="J3" s="3">
        <v>6.1239879999999998</v>
      </c>
      <c r="K3" s="3">
        <v>6.8484230699999999</v>
      </c>
      <c r="L3" s="3">
        <v>7.5347256099999997</v>
      </c>
      <c r="M3" s="5">
        <v>7.8659999999999997</v>
      </c>
      <c r="N3" s="3">
        <v>8.1783560000000008</v>
      </c>
      <c r="O3" s="3">
        <v>9.0633990000000004</v>
      </c>
      <c r="P3" t="s">
        <v>41</v>
      </c>
    </row>
    <row r="4" spans="1:17" x14ac:dyDescent="0.25">
      <c r="A4" s="1" t="s">
        <v>27</v>
      </c>
      <c r="B4" s="1" t="s">
        <v>3</v>
      </c>
      <c r="C4">
        <v>7</v>
      </c>
      <c r="D4">
        <v>16</v>
      </c>
      <c r="E4">
        <v>50</v>
      </c>
      <c r="F4">
        <v>100</v>
      </c>
      <c r="G4">
        <v>200</v>
      </c>
      <c r="H4">
        <v>400</v>
      </c>
      <c r="I4">
        <v>600</v>
      </c>
      <c r="J4">
        <v>800</v>
      </c>
      <c r="K4">
        <v>900</v>
      </c>
      <c r="L4">
        <v>1000</v>
      </c>
      <c r="M4" s="6">
        <v>1050.6199999999999</v>
      </c>
      <c r="N4">
        <v>1100</v>
      </c>
      <c r="O4">
        <v>1250</v>
      </c>
    </row>
    <row r="5" spans="1:17" x14ac:dyDescent="0.25">
      <c r="A5" s="1" t="s">
        <v>4</v>
      </c>
      <c r="B5" s="1" t="s">
        <v>10</v>
      </c>
      <c r="C5" s="3">
        <f>C4*177/1000</f>
        <v>1.2390000000000001</v>
      </c>
      <c r="D5" s="3">
        <f t="shared" ref="D5:O5" si="0">D4*177/1000</f>
        <v>2.8319999999999999</v>
      </c>
      <c r="E5" s="3">
        <f t="shared" si="0"/>
        <v>8.85</v>
      </c>
      <c r="F5" s="3">
        <f t="shared" si="0"/>
        <v>17.7</v>
      </c>
      <c r="G5" s="3">
        <f t="shared" si="0"/>
        <v>35.4</v>
      </c>
      <c r="H5" s="3">
        <f t="shared" si="0"/>
        <v>70.8</v>
      </c>
      <c r="I5" s="3">
        <f t="shared" si="0"/>
        <v>106.2</v>
      </c>
      <c r="J5" s="3">
        <f t="shared" si="0"/>
        <v>141.6</v>
      </c>
      <c r="K5" s="3">
        <f t="shared" si="0"/>
        <v>159.30000000000001</v>
      </c>
      <c r="L5" s="3">
        <f t="shared" si="0"/>
        <v>177</v>
      </c>
      <c r="M5" s="3">
        <f t="shared" si="0"/>
        <v>185.95973999999998</v>
      </c>
      <c r="N5" s="3">
        <f t="shared" si="0"/>
        <v>194.7</v>
      </c>
      <c r="O5" s="3">
        <f t="shared" si="0"/>
        <v>221.25</v>
      </c>
    </row>
    <row r="6" spans="1:17" x14ac:dyDescent="0.25">
      <c r="A6" s="1" t="s">
        <v>22</v>
      </c>
      <c r="B6" s="1" t="s">
        <v>23</v>
      </c>
      <c r="C6" s="3" t="s">
        <v>36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7" x14ac:dyDescent="0.25">
      <c r="A7" s="1" t="s">
        <v>5</v>
      </c>
      <c r="B7" s="1" t="s">
        <v>11</v>
      </c>
      <c r="C7" s="3">
        <v>1.21E-2</v>
      </c>
      <c r="D7" s="3">
        <v>2.7699999999999999E-2</v>
      </c>
      <c r="E7" s="3">
        <v>8.6599999999999996E-2</v>
      </c>
      <c r="F7" s="3">
        <v>0.17330000000000001</v>
      </c>
      <c r="G7" s="3">
        <v>0.34660000000000002</v>
      </c>
      <c r="H7" s="3">
        <v>0.69320000000000004</v>
      </c>
      <c r="I7" s="3">
        <v>1.0397000000000001</v>
      </c>
      <c r="J7" s="3">
        <v>1.3848</v>
      </c>
      <c r="K7" s="3">
        <v>1.5528999999999999</v>
      </c>
      <c r="L7" s="3">
        <v>1.7157</v>
      </c>
      <c r="M7" s="3">
        <f>-0.00000000011407*M4^3+0.00000012383*M4^2+0.0017043*M4</f>
        <v>1.7949711757147655</v>
      </c>
      <c r="N7" s="3">
        <v>1.8709</v>
      </c>
      <c r="O7" s="3">
        <f>-0.00000000011407*O4^3+0.00000012383*O4^2+0.0017043*O4</f>
        <v>2.1010664062499997</v>
      </c>
    </row>
    <row r="8" spans="1:17" x14ac:dyDescent="0.25">
      <c r="A8" s="1" t="s">
        <v>6</v>
      </c>
      <c r="B8" s="1" t="s">
        <v>12</v>
      </c>
      <c r="C8" s="3">
        <f>C7/0.25</f>
        <v>4.8399999999999999E-2</v>
      </c>
      <c r="D8" s="3">
        <f t="shared" ref="D8:O8" si="1">D7/0.25</f>
        <v>0.1108</v>
      </c>
      <c r="E8" s="3">
        <f t="shared" si="1"/>
        <v>0.34639999999999999</v>
      </c>
      <c r="F8" s="3">
        <f t="shared" si="1"/>
        <v>0.69320000000000004</v>
      </c>
      <c r="G8" s="3">
        <f t="shared" si="1"/>
        <v>1.3864000000000001</v>
      </c>
      <c r="H8" s="3">
        <f t="shared" si="1"/>
        <v>2.7728000000000002</v>
      </c>
      <c r="I8" s="3">
        <f t="shared" si="1"/>
        <v>4.1588000000000003</v>
      </c>
      <c r="J8" s="3">
        <f t="shared" si="1"/>
        <v>5.5392000000000001</v>
      </c>
      <c r="K8" s="3">
        <f t="shared" si="1"/>
        <v>6.2115999999999998</v>
      </c>
      <c r="L8" s="3">
        <f t="shared" si="1"/>
        <v>6.8628</v>
      </c>
      <c r="M8" s="3">
        <f t="shared" si="1"/>
        <v>7.179884702859062</v>
      </c>
      <c r="N8" s="3">
        <f t="shared" si="1"/>
        <v>7.4836</v>
      </c>
      <c r="O8" s="3">
        <f t="shared" si="1"/>
        <v>8.404265624999999</v>
      </c>
    </row>
    <row r="9" spans="1:17" x14ac:dyDescent="0.25">
      <c r="A9" s="1" t="s">
        <v>7</v>
      </c>
      <c r="B9" s="1" t="s">
        <v>13</v>
      </c>
      <c r="C9">
        <v>1.8939999999999999</v>
      </c>
      <c r="D9">
        <v>1.8939999999999999</v>
      </c>
      <c r="E9">
        <v>1.8939999999999999</v>
      </c>
      <c r="F9">
        <v>1.8939999999999999</v>
      </c>
      <c r="G9">
        <v>1.8939999999999999</v>
      </c>
      <c r="H9">
        <v>1.8939999999999999</v>
      </c>
      <c r="I9">
        <v>1.8939999999999999</v>
      </c>
      <c r="J9">
        <v>1.8919999999999999</v>
      </c>
      <c r="K9">
        <v>1.8879999999999999</v>
      </c>
      <c r="L9">
        <v>1.8819999999999999</v>
      </c>
      <c r="N9">
        <v>1.875</v>
      </c>
    </row>
    <row r="10" spans="1:17" x14ac:dyDescent="0.25">
      <c r="A10" s="1" t="s">
        <v>8</v>
      </c>
      <c r="B10" s="1" t="s">
        <v>14</v>
      </c>
      <c r="C10">
        <v>1.3899999999999999E-2</v>
      </c>
      <c r="D10">
        <v>7.2900000000000006E-2</v>
      </c>
      <c r="E10">
        <v>0.71299999999999997</v>
      </c>
      <c r="F10">
        <v>2.85</v>
      </c>
      <c r="G10">
        <v>11.4</v>
      </c>
      <c r="H10">
        <v>45.7</v>
      </c>
      <c r="I10">
        <v>103</v>
      </c>
      <c r="J10">
        <v>182</v>
      </c>
      <c r="K10">
        <v>229</v>
      </c>
      <c r="L10">
        <v>281</v>
      </c>
      <c r="N10">
        <v>335</v>
      </c>
    </row>
    <row r="11" spans="1:17" x14ac:dyDescent="0.25">
      <c r="A11" s="1" t="s">
        <v>9</v>
      </c>
      <c r="B11" s="1" t="s">
        <v>15</v>
      </c>
      <c r="C11" s="2">
        <f>2000*C10/C4^2</f>
        <v>0.56734693877551012</v>
      </c>
      <c r="D11" s="2">
        <f t="shared" ref="D11:N11" si="2">2000*D10/D4^2</f>
        <v>0.56953125000000004</v>
      </c>
      <c r="E11" s="2">
        <f t="shared" si="2"/>
        <v>0.57040000000000002</v>
      </c>
      <c r="F11" s="2">
        <f t="shared" si="2"/>
        <v>0.56999999999999995</v>
      </c>
      <c r="G11" s="2">
        <f t="shared" si="2"/>
        <v>0.56999999999999995</v>
      </c>
      <c r="H11" s="2">
        <f t="shared" si="2"/>
        <v>0.57125000000000004</v>
      </c>
      <c r="I11" s="2">
        <f t="shared" si="2"/>
        <v>0.57222222222222219</v>
      </c>
      <c r="J11" s="2">
        <f t="shared" si="2"/>
        <v>0.56874999999999998</v>
      </c>
      <c r="K11" s="2">
        <f t="shared" si="2"/>
        <v>0.5654320987654321</v>
      </c>
      <c r="L11" s="2">
        <f t="shared" si="2"/>
        <v>0.56200000000000006</v>
      </c>
      <c r="M11" s="2"/>
      <c r="N11" s="2">
        <f t="shared" si="2"/>
        <v>0.55371900826446285</v>
      </c>
    </row>
    <row r="14" spans="1:17" x14ac:dyDescent="0.25">
      <c r="A14" t="s">
        <v>20</v>
      </c>
      <c r="B14" s="1" t="s">
        <v>19</v>
      </c>
      <c r="P14" s="4"/>
    </row>
    <row r="15" spans="1:17" x14ac:dyDescent="0.25">
      <c r="A15" s="1" t="s">
        <v>16</v>
      </c>
      <c r="B15" s="1" t="s">
        <v>44</v>
      </c>
      <c r="C15" t="s">
        <v>35</v>
      </c>
      <c r="F15" t="s">
        <v>32</v>
      </c>
      <c r="J15" t="s">
        <v>34</v>
      </c>
      <c r="M15" t="s">
        <v>33</v>
      </c>
    </row>
    <row r="16" spans="1:17" x14ac:dyDescent="0.25">
      <c r="A16" s="1" t="s">
        <v>0</v>
      </c>
      <c r="B16" s="1" t="s">
        <v>37</v>
      </c>
      <c r="C16" s="3">
        <v>0.10100000000000001</v>
      </c>
      <c r="D16" s="3">
        <v>0.46</v>
      </c>
      <c r="E16" s="3">
        <v>1.028</v>
      </c>
      <c r="F16" s="3">
        <v>2.0524399999999998</v>
      </c>
      <c r="G16" s="3">
        <v>3.3170000000000002</v>
      </c>
      <c r="H16" s="3"/>
      <c r="I16" s="3">
        <v>4.3903999999999996</v>
      </c>
      <c r="J16" s="3">
        <v>5.4580500000000001</v>
      </c>
      <c r="K16" s="3">
        <v>6.0354999999999999</v>
      </c>
      <c r="L16" s="3">
        <v>7.3068080000000002</v>
      </c>
      <c r="M16" s="5">
        <v>7.8659999999999997</v>
      </c>
      <c r="N16" s="7">
        <v>7.8911860000000003</v>
      </c>
      <c r="O16" s="3">
        <v>8.4231300000000005</v>
      </c>
      <c r="P16" s="3">
        <v>9.3619950000000003</v>
      </c>
      <c r="Q16" t="s">
        <v>40</v>
      </c>
    </row>
    <row r="17" spans="1:18" x14ac:dyDescent="0.25">
      <c r="A17" s="1"/>
      <c r="B17" s="1" t="s">
        <v>38</v>
      </c>
      <c r="C17" s="3">
        <v>0.19400000000000001</v>
      </c>
      <c r="D17" s="3">
        <v>0.93400000000000005</v>
      </c>
      <c r="E17" s="3">
        <v>2.1055000000000001</v>
      </c>
      <c r="F17" s="3">
        <v>4.2192999999999996</v>
      </c>
      <c r="G17" s="3">
        <v>6.7785000000000002</v>
      </c>
      <c r="H17" s="5">
        <v>7.8659999999999997</v>
      </c>
      <c r="I17" s="3">
        <v>9.0410000000000004</v>
      </c>
      <c r="J17" s="3">
        <v>11.224600000000001</v>
      </c>
      <c r="K17" s="3"/>
      <c r="L17" s="3"/>
      <c r="M17" s="3"/>
      <c r="N17" s="7"/>
      <c r="O17" s="3"/>
      <c r="Q17" t="s">
        <v>39</v>
      </c>
    </row>
    <row r="18" spans="1:18" x14ac:dyDescent="0.25">
      <c r="A18" s="1" t="s">
        <v>27</v>
      </c>
      <c r="B18" s="1" t="s">
        <v>3</v>
      </c>
      <c r="C18">
        <v>10.18</v>
      </c>
      <c r="D18">
        <v>47.37</v>
      </c>
      <c r="E18">
        <v>106.25</v>
      </c>
      <c r="F18">
        <v>212.49</v>
      </c>
      <c r="G18">
        <v>341.12</v>
      </c>
      <c r="H18" s="6">
        <v>395.78</v>
      </c>
      <c r="I18">
        <v>454.85</v>
      </c>
      <c r="J18">
        <v>568.53</v>
      </c>
      <c r="K18">
        <v>635.99</v>
      </c>
      <c r="L18">
        <v>814.55</v>
      </c>
      <c r="M18" s="6">
        <v>911.66</v>
      </c>
      <c r="N18" s="8">
        <v>916.36</v>
      </c>
      <c r="O18">
        <v>1023</v>
      </c>
      <c r="P18">
        <v>1250</v>
      </c>
    </row>
    <row r="19" spans="1:18" x14ac:dyDescent="0.25">
      <c r="A19" s="1" t="s">
        <v>4</v>
      </c>
      <c r="B19" s="1" t="s">
        <v>10</v>
      </c>
      <c r="C19" s="3">
        <f>C18*345/1000</f>
        <v>3.5120999999999998</v>
      </c>
      <c r="D19" s="3">
        <f t="shared" ref="D19:O19" si="3">D18*345/1000</f>
        <v>16.342649999999999</v>
      </c>
      <c r="E19" s="3">
        <f t="shared" si="3"/>
        <v>36.65625</v>
      </c>
      <c r="F19" s="3">
        <f t="shared" si="3"/>
        <v>73.309049999999999</v>
      </c>
      <c r="G19" s="3">
        <f t="shared" si="3"/>
        <v>117.68640000000001</v>
      </c>
      <c r="H19" s="3">
        <f t="shared" si="3"/>
        <v>136.54409999999999</v>
      </c>
      <c r="I19" s="3">
        <f t="shared" si="3"/>
        <v>156.92325</v>
      </c>
      <c r="J19" s="3">
        <f t="shared" si="3"/>
        <v>196.14284999999998</v>
      </c>
      <c r="K19" s="3">
        <f t="shared" si="3"/>
        <v>219.41655000000003</v>
      </c>
      <c r="L19" s="3">
        <f t="shared" si="3"/>
        <v>281.01974999999999</v>
      </c>
      <c r="M19" s="3">
        <f t="shared" si="3"/>
        <v>314.52269999999999</v>
      </c>
      <c r="N19" s="3">
        <f t="shared" si="3"/>
        <v>316.14420000000001</v>
      </c>
      <c r="O19" s="3">
        <f t="shared" si="3"/>
        <v>352.935</v>
      </c>
    </row>
    <row r="20" spans="1:18" x14ac:dyDescent="0.25">
      <c r="A20" s="1" t="s">
        <v>22</v>
      </c>
      <c r="B20" s="1" t="s">
        <v>23</v>
      </c>
      <c r="C20" s="3" t="s">
        <v>36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8" x14ac:dyDescent="0.25">
      <c r="A21" s="1" t="s">
        <v>5</v>
      </c>
      <c r="B21" s="1" t="s">
        <v>11</v>
      </c>
      <c r="C21" s="3">
        <v>2.47E-2</v>
      </c>
      <c r="D21" s="3">
        <v>0.115</v>
      </c>
      <c r="E21" s="3">
        <v>0.25800000000000001</v>
      </c>
      <c r="F21" s="3">
        <v>0.5161</v>
      </c>
      <c r="G21" s="3">
        <v>0.82850000000000001</v>
      </c>
      <c r="H21" s="3">
        <f>-0.00000000084347*H18^3+0.0000006593*H18^2+0.0023164*H18</f>
        <v>0.96776722747673416</v>
      </c>
      <c r="I21" s="3">
        <v>1.1043000000000001</v>
      </c>
      <c r="J21" s="3">
        <v>1.3754999999999999</v>
      </c>
      <c r="K21" s="3">
        <v>1.5296000000000001</v>
      </c>
      <c r="L21" s="3">
        <v>1.8711</v>
      </c>
      <c r="M21" s="3">
        <f>-0.00000000084347*M18^3+0.0000006593*M18^2+0.0023164*M18</f>
        <v>2.0206299494679443</v>
      </c>
      <c r="N21" s="3">
        <v>2.0217000000000001</v>
      </c>
      <c r="O21" s="3">
        <v>2.1583000000000001</v>
      </c>
    </row>
    <row r="22" spans="1:18" x14ac:dyDescent="0.25">
      <c r="A22" s="1" t="s">
        <v>6</v>
      </c>
      <c r="B22" s="1" t="s">
        <v>12</v>
      </c>
      <c r="C22" s="3">
        <f>C21/0.35</f>
        <v>7.0571428571428577E-2</v>
      </c>
      <c r="D22" s="3">
        <f t="shared" ref="D22:O22" si="4">D21/0.35</f>
        <v>0.32857142857142863</v>
      </c>
      <c r="E22" s="3">
        <f t="shared" si="4"/>
        <v>0.73714285714285721</v>
      </c>
      <c r="F22" s="3">
        <f t="shared" si="4"/>
        <v>1.4745714285714286</v>
      </c>
      <c r="G22" s="3">
        <f t="shared" si="4"/>
        <v>2.3671428571428574</v>
      </c>
      <c r="H22" s="3">
        <f t="shared" si="4"/>
        <v>2.7650492213620979</v>
      </c>
      <c r="I22" s="3">
        <f t="shared" si="4"/>
        <v>3.1551428571428577</v>
      </c>
      <c r="J22" s="3">
        <f t="shared" si="4"/>
        <v>3.93</v>
      </c>
      <c r="K22" s="3">
        <f t="shared" si="4"/>
        <v>4.370285714285715</v>
      </c>
      <c r="L22" s="3">
        <f t="shared" si="4"/>
        <v>5.3460000000000001</v>
      </c>
      <c r="M22" s="3">
        <f t="shared" si="4"/>
        <v>5.7732284270512695</v>
      </c>
      <c r="N22" s="3">
        <f t="shared" si="4"/>
        <v>5.7762857142857147</v>
      </c>
      <c r="O22" s="3">
        <f t="shared" si="4"/>
        <v>6.1665714285714293</v>
      </c>
    </row>
    <row r="23" spans="1:18" x14ac:dyDescent="0.25">
      <c r="A23" s="1" t="s">
        <v>7</v>
      </c>
      <c r="B23" s="1" t="s">
        <v>13</v>
      </c>
      <c r="C23">
        <v>2.1840000000000002</v>
      </c>
      <c r="D23">
        <v>2.1840000000000002</v>
      </c>
      <c r="E23">
        <v>2.1840000000000002</v>
      </c>
      <c r="F23">
        <v>2.1840000000000002</v>
      </c>
      <c r="G23">
        <v>2.1840000000000002</v>
      </c>
      <c r="I23">
        <v>2.181</v>
      </c>
      <c r="J23">
        <v>2.1669999999999998</v>
      </c>
      <c r="K23">
        <v>2.1520000000000001</v>
      </c>
      <c r="L23">
        <v>2.1139999999999999</v>
      </c>
      <c r="N23">
        <v>2.1080000000000001</v>
      </c>
      <c r="O23">
        <v>2.1040000000000001</v>
      </c>
    </row>
    <row r="24" spans="1:18" x14ac:dyDescent="0.25">
      <c r="A24" s="1" t="s">
        <v>8</v>
      </c>
      <c r="B24" s="1" t="s">
        <v>14</v>
      </c>
      <c r="C24">
        <v>0.183</v>
      </c>
      <c r="D24">
        <v>3.97</v>
      </c>
      <c r="E24">
        <v>20</v>
      </c>
      <c r="F24">
        <v>79.900000000000006</v>
      </c>
      <c r="G24">
        <v>206</v>
      </c>
      <c r="I24">
        <v>365</v>
      </c>
      <c r="J24">
        <v>565</v>
      </c>
      <c r="K24">
        <v>699</v>
      </c>
      <c r="L24">
        <v>1080</v>
      </c>
      <c r="N24">
        <v>1310</v>
      </c>
      <c r="O24">
        <v>1590</v>
      </c>
    </row>
    <row r="25" spans="1:18" x14ac:dyDescent="0.25">
      <c r="A25" s="1" t="s">
        <v>9</v>
      </c>
      <c r="B25" s="1" t="s">
        <v>15</v>
      </c>
      <c r="C25" s="2">
        <f>2000*C24/C18^2</f>
        <v>3.5317140199397103</v>
      </c>
      <c r="D25" s="2">
        <f t="shared" ref="D25:O25" si="5">2000*D24/D18^2</f>
        <v>3.5384554570626037</v>
      </c>
      <c r="E25" s="2">
        <f t="shared" si="5"/>
        <v>3.5432525951557095</v>
      </c>
      <c r="F25" s="2">
        <f t="shared" si="5"/>
        <v>3.5391566186677075</v>
      </c>
      <c r="G25" s="2">
        <f t="shared" si="5"/>
        <v>3.5406487931598902</v>
      </c>
      <c r="H25" s="2"/>
      <c r="I25" s="2">
        <f t="shared" si="5"/>
        <v>3.5284702659133735</v>
      </c>
      <c r="J25" s="2">
        <f t="shared" si="5"/>
        <v>3.4960019871324799</v>
      </c>
      <c r="K25" s="2">
        <f t="shared" si="5"/>
        <v>3.456261528670292</v>
      </c>
      <c r="L25" s="2">
        <f t="shared" si="5"/>
        <v>3.2555041635957767</v>
      </c>
      <c r="M25" s="2"/>
      <c r="N25" s="2">
        <f t="shared" si="5"/>
        <v>3.1201038128181149</v>
      </c>
      <c r="O25" s="2">
        <f t="shared" si="5"/>
        <v>3.038616225637321</v>
      </c>
    </row>
    <row r="28" spans="1:18" x14ac:dyDescent="0.25">
      <c r="A28" t="s">
        <v>20</v>
      </c>
      <c r="B28" s="1" t="s">
        <v>21</v>
      </c>
    </row>
    <row r="29" spans="1:18" x14ac:dyDescent="0.25">
      <c r="A29" s="1" t="s">
        <v>16</v>
      </c>
      <c r="B29" s="1" t="s">
        <v>48</v>
      </c>
      <c r="E29" t="s">
        <v>25</v>
      </c>
      <c r="Q29" t="s">
        <v>42</v>
      </c>
    </row>
    <row r="30" spans="1:18" x14ac:dyDescent="0.25">
      <c r="A30" s="1"/>
      <c r="B30" s="1" t="s">
        <v>1</v>
      </c>
      <c r="C30" s="3">
        <f>C35/0.27485827</f>
        <v>0.32548411222991397</v>
      </c>
      <c r="D30" s="3">
        <f t="shared" ref="D30:O30" si="6">D35/0.27485827</f>
        <v>1.0849409770351826</v>
      </c>
      <c r="E30" s="3">
        <f t="shared" si="6"/>
        <v>1.6273878170011038</v>
      </c>
      <c r="F30" s="3">
        <f t="shared" si="6"/>
        <v>2.1696672979859764</v>
      </c>
      <c r="G30" s="3">
        <f t="shared" si="6"/>
        <v>3.0450711925095066</v>
      </c>
      <c r="H30" s="3">
        <f t="shared" si="6"/>
        <v>4.4705585900689826</v>
      </c>
      <c r="I30" s="3">
        <f t="shared" si="6"/>
        <v>4.8456610019411093</v>
      </c>
      <c r="J30" s="3">
        <f t="shared" si="6"/>
        <v>5.5190626063388963</v>
      </c>
      <c r="K30" s="3">
        <f t="shared" si="6"/>
        <v>6.0792786042057241</v>
      </c>
      <c r="L30" s="3">
        <f t="shared" si="6"/>
        <v>6.5538868450274386</v>
      </c>
      <c r="M30" s="3">
        <f t="shared" si="6"/>
        <v>6.9518010136642419</v>
      </c>
      <c r="N30" s="3">
        <f t="shared" si="6"/>
        <v>7.2808797057479833</v>
      </c>
      <c r="O30" s="3">
        <f t="shared" si="6"/>
        <v>7.5570947892526563</v>
      </c>
      <c r="P30" s="3">
        <f t="shared" ref="P30:Q30" si="7">P35/0.27485827</f>
        <v>7.6974369081199567</v>
      </c>
      <c r="Q30" s="5">
        <f t="shared" si="7"/>
        <v>7.8661813595785173</v>
      </c>
      <c r="R30">
        <v>7.4</v>
      </c>
    </row>
    <row r="31" spans="1:18" x14ac:dyDescent="0.25">
      <c r="A31" s="1" t="s">
        <v>0</v>
      </c>
      <c r="B31" s="1" t="s">
        <v>1</v>
      </c>
      <c r="C31" s="3">
        <f>6/1.6566*C35</f>
        <v>0.3240202825063383</v>
      </c>
      <c r="D31" s="3">
        <f t="shared" ref="D31:O31" si="8">6/1.6566*D35</f>
        <v>1.0800615718942412</v>
      </c>
      <c r="E31" s="3">
        <f t="shared" si="8"/>
        <v>1.6200688156465048</v>
      </c>
      <c r="F31" s="3">
        <f t="shared" si="8"/>
        <v>2.159909453096704</v>
      </c>
      <c r="G31" s="3">
        <f t="shared" si="8"/>
        <v>3.0313763129300977</v>
      </c>
      <c r="H31" s="3">
        <f t="shared" si="8"/>
        <v>4.450452734516479</v>
      </c>
      <c r="I31" s="3">
        <f t="shared" si="8"/>
        <v>4.8238681637088012</v>
      </c>
      <c r="J31" s="3">
        <f t="shared" si="8"/>
        <v>5.49424121695038</v>
      </c>
      <c r="K31" s="3">
        <f t="shared" si="8"/>
        <v>6.0519377037305322</v>
      </c>
      <c r="L31" s="3">
        <f t="shared" si="8"/>
        <v>6.5244114451285764</v>
      </c>
      <c r="M31" s="3">
        <f t="shared" si="8"/>
        <v>6.920536037667512</v>
      </c>
      <c r="N31" s="3">
        <f t="shared" si="8"/>
        <v>7.2481347337921038</v>
      </c>
      <c r="O31" s="3">
        <f t="shared" si="8"/>
        <v>7.5231075697211152</v>
      </c>
      <c r="P31" s="3">
        <f t="shared" ref="P31:Q31" si="9">6/1.6566*P35</f>
        <v>7.6628185150307875</v>
      </c>
      <c r="Q31" s="3">
        <f t="shared" si="9"/>
        <v>7.8308040565012655</v>
      </c>
      <c r="R31" s="3">
        <f t="shared" ref="R31" si="10">6/1.6566*R35</f>
        <v>0</v>
      </c>
    </row>
    <row r="32" spans="1:18" s="10" customFormat="1" x14ac:dyDescent="0.25">
      <c r="A32" s="9" t="s">
        <v>27</v>
      </c>
      <c r="B32" s="9" t="s">
        <v>3</v>
      </c>
      <c r="C32" s="10">
        <v>88.135200531073451</v>
      </c>
      <c r="D32" s="10">
        <v>293.78250740112992</v>
      </c>
      <c r="E32" s="10">
        <v>440.67779589830508</v>
      </c>
      <c r="F32" s="10">
        <v>587.57398101694923</v>
      </c>
      <c r="G32" s="10">
        <v>824.94913518644057</v>
      </c>
      <c r="H32" s="10">
        <v>1214.508747898305</v>
      </c>
      <c r="I32" s="10">
        <v>1322.0342843163842</v>
      </c>
      <c r="J32" s="10">
        <v>1542.3727339548022</v>
      </c>
      <c r="K32" s="10">
        <v>1762.7120802146892</v>
      </c>
      <c r="L32" s="10">
        <v>1983.0505298531073</v>
      </c>
      <c r="M32" s="10">
        <v>2203.3898761129944</v>
      </c>
      <c r="N32" s="10">
        <v>2423.7292223728814</v>
      </c>
      <c r="O32" s="10">
        <v>2644.0676720112992</v>
      </c>
      <c r="P32" s="10">
        <v>2800</v>
      </c>
      <c r="Q32" s="11">
        <v>3000</v>
      </c>
      <c r="R32" s="11">
        <v>3000</v>
      </c>
    </row>
    <row r="33" spans="1:23" s="10" customFormat="1" x14ac:dyDescent="0.25">
      <c r="A33" s="9" t="s">
        <v>4</v>
      </c>
      <c r="B33" s="9" t="s">
        <v>10</v>
      </c>
      <c r="C33" s="10">
        <f>C32*156</f>
        <v>13749.091282847457</v>
      </c>
      <c r="D33" s="10">
        <f t="shared" ref="D33:Q33" si="11">D32*156</f>
        <v>45830.071154576268</v>
      </c>
      <c r="E33" s="10">
        <f t="shared" si="11"/>
        <v>68745.736160135595</v>
      </c>
      <c r="F33" s="10">
        <f t="shared" si="11"/>
        <v>91661.541038644078</v>
      </c>
      <c r="G33" s="10">
        <f t="shared" si="11"/>
        <v>128692.06508908473</v>
      </c>
      <c r="H33" s="10">
        <f t="shared" si="11"/>
        <v>189463.36467213559</v>
      </c>
      <c r="I33" s="10">
        <f t="shared" si="11"/>
        <v>206237.34835335592</v>
      </c>
      <c r="J33" s="10">
        <f t="shared" si="11"/>
        <v>240610.14649694914</v>
      </c>
      <c r="K33" s="10">
        <f t="shared" si="11"/>
        <v>274983.08451349149</v>
      </c>
      <c r="L33" s="10">
        <f t="shared" si="11"/>
        <v>309355.88265708473</v>
      </c>
      <c r="M33" s="10">
        <f t="shared" si="11"/>
        <v>343728.82067362714</v>
      </c>
      <c r="N33" s="10">
        <f t="shared" si="11"/>
        <v>378101.75869016949</v>
      </c>
      <c r="O33" s="10">
        <f t="shared" si="11"/>
        <v>412474.55683376268</v>
      </c>
      <c r="P33" s="10">
        <f t="shared" si="11"/>
        <v>436800</v>
      </c>
      <c r="Q33" s="10">
        <f t="shared" si="11"/>
        <v>468000</v>
      </c>
    </row>
    <row r="34" spans="1:23" x14ac:dyDescent="0.25">
      <c r="A34" s="1" t="s">
        <v>22</v>
      </c>
      <c r="B34" s="1" t="s">
        <v>23</v>
      </c>
      <c r="C34">
        <f>C33/158.702</f>
        <v>86.634644067796614</v>
      </c>
      <c r="D34">
        <f t="shared" ref="D34:E34" si="12">D33/158.702</f>
        <v>288.78067796610168</v>
      </c>
      <c r="E34">
        <f t="shared" si="12"/>
        <v>433.17498305084746</v>
      </c>
      <c r="F34">
        <f t="shared" ref="F34" si="13">F33/158.702</f>
        <v>577.57016949152546</v>
      </c>
      <c r="G34">
        <f t="shared" ref="G34" si="14">G33/158.702</f>
        <v>810.90386440677958</v>
      </c>
      <c r="H34">
        <f t="shared" ref="H34" si="15">H33/158.702</f>
        <v>1193.8309830508474</v>
      </c>
      <c r="I34">
        <f t="shared" ref="I34" si="16">I33/158.702</f>
        <v>1299.5258305084744</v>
      </c>
      <c r="J34">
        <f t="shared" ref="J34" si="17">J33/158.702</f>
        <v>1516.1128813559321</v>
      </c>
      <c r="K34">
        <f t="shared" ref="K34" si="18">K33/158.702</f>
        <v>1732.7008135593219</v>
      </c>
      <c r="L34">
        <f t="shared" ref="L34" si="19">L33/158.702</f>
        <v>1949.2878644067796</v>
      </c>
      <c r="M34">
        <f t="shared" ref="M34" si="20">M33/158.702</f>
        <v>2165.8757966101698</v>
      </c>
      <c r="N34">
        <f t="shared" ref="N34" si="21">N33/158.702</f>
        <v>2382.4637288135596</v>
      </c>
      <c r="O34">
        <f t="shared" ref="O34" si="22">O33/158.702</f>
        <v>2599.0507796610168</v>
      </c>
      <c r="P34">
        <f t="shared" ref="P34" si="23">P33/158.702</f>
        <v>2752.3282630338622</v>
      </c>
      <c r="Q34">
        <f t="shared" ref="Q34" si="24">Q33/158.702</f>
        <v>2948.9231389648526</v>
      </c>
    </row>
    <row r="35" spans="1:23" s="2" customFormat="1" x14ac:dyDescent="0.25">
      <c r="A35" s="12" t="s">
        <v>24</v>
      </c>
      <c r="B35" s="12" t="s">
        <v>11</v>
      </c>
      <c r="C35" s="2">
        <v>8.9462E-2</v>
      </c>
      <c r="D35" s="2">
        <v>0.298205</v>
      </c>
      <c r="E35" s="2">
        <v>0.447301</v>
      </c>
      <c r="F35" s="2">
        <v>0.59635099999999996</v>
      </c>
      <c r="G35" s="2">
        <v>0.83696300000000001</v>
      </c>
      <c r="H35" s="2">
        <v>1.2287699999999999</v>
      </c>
      <c r="I35" s="2">
        <v>1.3318700000000001</v>
      </c>
      <c r="J35" s="2">
        <v>1.5169600000000001</v>
      </c>
      <c r="K35" s="2">
        <v>1.6709400000000001</v>
      </c>
      <c r="L35" s="2">
        <v>1.80139</v>
      </c>
      <c r="M35" s="2">
        <v>1.91076</v>
      </c>
      <c r="N35" s="2">
        <v>2.0012099999999999</v>
      </c>
      <c r="O35" s="2">
        <v>2.0771299999999999</v>
      </c>
      <c r="P35" s="2">
        <f>0.000000000000025895*P32^4-0.00000000018816*P32^3+0.00000026317*P32^2+0.00092546*P32</f>
        <v>2.1157041920000004</v>
      </c>
      <c r="Q35" s="2">
        <f>0.000000000000025895*Q32^4-0.00000000018816*Q32^3+0.00000026317*Q32^2+0.00092546*Q32</f>
        <v>2.1620849999999994</v>
      </c>
    </row>
    <row r="36" spans="1:23" x14ac:dyDescent="0.25">
      <c r="A36" s="1" t="s">
        <v>26</v>
      </c>
      <c r="B36" s="1" t="s">
        <v>28</v>
      </c>
      <c r="C36">
        <f>C35/C32*1000</f>
        <v>1.0150541379713405</v>
      </c>
      <c r="D36">
        <f t="shared" ref="D36:O36" si="25">D35/D32*1000</f>
        <v>1.015053628066533</v>
      </c>
      <c r="E36">
        <f t="shared" si="25"/>
        <v>1.0150295843433494</v>
      </c>
      <c r="F36">
        <f t="shared" si="25"/>
        <v>1.0149377257445265</v>
      </c>
      <c r="G36">
        <f t="shared" si="25"/>
        <v>1.0145631582616839</v>
      </c>
      <c r="H36">
        <f t="shared" si="25"/>
        <v>1.0117424037713798</v>
      </c>
      <c r="I36">
        <f t="shared" si="25"/>
        <v>1.0074398340499178</v>
      </c>
      <c r="J36">
        <f t="shared" si="25"/>
        <v>0.98352361047667036</v>
      </c>
      <c r="K36">
        <f t="shared" si="25"/>
        <v>0.94793699932917475</v>
      </c>
      <c r="L36">
        <f t="shared" si="25"/>
        <v>0.90839339335111979</v>
      </c>
      <c r="M36">
        <f t="shared" si="25"/>
        <v>0.86719105897444559</v>
      </c>
      <c r="N36">
        <f t="shared" si="25"/>
        <v>0.82567391667653933</v>
      </c>
      <c r="O36">
        <f t="shared" si="25"/>
        <v>0.78558125496839526</v>
      </c>
      <c r="P36">
        <f t="shared" ref="P36" si="26">P35/P32*1000</f>
        <v>0.75560864000000005</v>
      </c>
      <c r="Q36">
        <f t="shared" ref="Q36" si="27">Q35/Q32*1000</f>
        <v>0.72069499999999986</v>
      </c>
    </row>
    <row r="37" spans="1:23" s="3" customFormat="1" x14ac:dyDescent="0.25">
      <c r="A37" s="13" t="s">
        <v>7</v>
      </c>
      <c r="B37" s="13" t="s">
        <v>13</v>
      </c>
      <c r="C37" s="3">
        <v>5.2934000000000001</v>
      </c>
      <c r="D37" s="3">
        <v>5.2934000000000001</v>
      </c>
      <c r="E37" s="3">
        <v>5.2934000000000001</v>
      </c>
      <c r="F37" s="3">
        <v>5.2933000000000003</v>
      </c>
      <c r="G37" s="3">
        <v>5.2931999999999997</v>
      </c>
      <c r="H37" s="3">
        <v>5.2907000000000002</v>
      </c>
      <c r="I37" s="3">
        <v>5.2873999999999999</v>
      </c>
      <c r="J37" s="3">
        <v>5.27949</v>
      </c>
      <c r="K37" s="3">
        <v>5.2614999999999998</v>
      </c>
      <c r="L37" s="3">
        <v>5.2506000000000004</v>
      </c>
      <c r="M37" s="3">
        <v>5.2417999999999996</v>
      </c>
      <c r="N37" s="3">
        <v>5.2347999999999999</v>
      </c>
      <c r="O37" s="3">
        <v>5.2302</v>
      </c>
    </row>
    <row r="38" spans="1:23" x14ac:dyDescent="0.25">
      <c r="A38" s="1" t="s">
        <v>8</v>
      </c>
      <c r="B38" s="1" t="s">
        <v>14</v>
      </c>
      <c r="C38">
        <v>14.342000000000001</v>
      </c>
      <c r="D38">
        <v>159.346</v>
      </c>
      <c r="E38">
        <v>358.40300000000002</v>
      </c>
      <c r="F38">
        <v>636.70699999999999</v>
      </c>
      <c r="G38">
        <v>1253.2429999999999</v>
      </c>
      <c r="H38">
        <v>2705.0439999999999</v>
      </c>
      <c r="I38">
        <v>3189.5520000000001</v>
      </c>
      <c r="J38">
        <v>4229.826</v>
      </c>
      <c r="K38">
        <v>5311.6989999999996</v>
      </c>
      <c r="L38">
        <v>6421.5039999999999</v>
      </c>
      <c r="M38">
        <v>7541.0820000000003</v>
      </c>
      <c r="N38">
        <v>8661.5959999999995</v>
      </c>
      <c r="O38">
        <v>9789.7129999999997</v>
      </c>
    </row>
    <row r="39" spans="1:23" s="3" customFormat="1" x14ac:dyDescent="0.25">
      <c r="A39" s="13" t="s">
        <v>9</v>
      </c>
      <c r="B39" s="13" t="s">
        <v>15</v>
      </c>
      <c r="C39" s="3">
        <f>2000*C38/C32^2</f>
        <v>3.6926735859090751</v>
      </c>
      <c r="D39" s="3">
        <f t="shared" ref="D39:O39" si="28">2000*D38/D32^2</f>
        <v>3.6924897239069563</v>
      </c>
      <c r="E39" s="3">
        <f t="shared" si="28"/>
        <v>3.6911296056929732</v>
      </c>
      <c r="F39" s="3">
        <f t="shared" si="28"/>
        <v>3.6884551588088788</v>
      </c>
      <c r="G39" s="3">
        <f t="shared" si="28"/>
        <v>3.6830782001291311</v>
      </c>
      <c r="H39" s="3">
        <f t="shared" si="28"/>
        <v>3.6677779455484321</v>
      </c>
      <c r="I39" s="3">
        <f t="shared" si="28"/>
        <v>3.6498435333101265</v>
      </c>
      <c r="J39" s="3">
        <f t="shared" si="28"/>
        <v>3.5560988093912838</v>
      </c>
      <c r="K39" s="3">
        <f t="shared" si="28"/>
        <v>3.4190125169290804</v>
      </c>
      <c r="L39" s="3">
        <f t="shared" si="28"/>
        <v>3.2658722454782847</v>
      </c>
      <c r="M39" s="3">
        <f t="shared" si="28"/>
        <v>3.1065686811081283</v>
      </c>
      <c r="N39" s="3">
        <f t="shared" si="28"/>
        <v>2.9488977949805686</v>
      </c>
      <c r="O39" s="3">
        <f t="shared" si="28"/>
        <v>2.8006241095313991</v>
      </c>
    </row>
    <row r="41" spans="1:23" x14ac:dyDescent="0.25">
      <c r="A41" s="1" t="s">
        <v>29</v>
      </c>
    </row>
    <row r="42" spans="1:23" x14ac:dyDescent="0.25">
      <c r="A42" s="1" t="s">
        <v>2</v>
      </c>
      <c r="B42" s="1" t="s">
        <v>30</v>
      </c>
      <c r="C42">
        <v>108</v>
      </c>
      <c r="D42">
        <v>177.6</v>
      </c>
      <c r="E42">
        <v>247.2</v>
      </c>
      <c r="F42">
        <v>316.8</v>
      </c>
      <c r="G42">
        <v>386.4</v>
      </c>
      <c r="H42">
        <v>456</v>
      </c>
      <c r="I42">
        <v>525.6</v>
      </c>
      <c r="J42">
        <v>595.20000000000005</v>
      </c>
      <c r="K42">
        <v>664.8</v>
      </c>
      <c r="L42">
        <v>734.4</v>
      </c>
      <c r="M42">
        <v>804</v>
      </c>
      <c r="N42">
        <v>873.6</v>
      </c>
      <c r="O42">
        <v>943.2</v>
      </c>
      <c r="P42">
        <v>1012.8</v>
      </c>
      <c r="Q42">
        <v>1082.4000000000001</v>
      </c>
      <c r="R42">
        <v>1152</v>
      </c>
      <c r="S42">
        <v>1221.5999999999999</v>
      </c>
      <c r="T42">
        <v>1291.2</v>
      </c>
      <c r="U42">
        <v>1360.8</v>
      </c>
      <c r="V42">
        <v>1430.4</v>
      </c>
      <c r="W42">
        <v>1500</v>
      </c>
    </row>
    <row r="43" spans="1:23" x14ac:dyDescent="0.25">
      <c r="A43" s="1" t="s">
        <v>26</v>
      </c>
      <c r="B43" s="1" t="s">
        <v>31</v>
      </c>
      <c r="C43">
        <v>0.90314300000000003</v>
      </c>
      <c r="D43">
        <v>0.89446400000000004</v>
      </c>
      <c r="E43">
        <v>0.89502999999999999</v>
      </c>
      <c r="F43">
        <v>0.89494899999999999</v>
      </c>
      <c r="G43">
        <v>0.893428</v>
      </c>
      <c r="H43">
        <v>0.89375000000000004</v>
      </c>
      <c r="I43">
        <v>0.895119</v>
      </c>
      <c r="J43">
        <v>0.893903</v>
      </c>
      <c r="K43">
        <v>0.89375099999999996</v>
      </c>
      <c r="L43">
        <v>0.89360300000000004</v>
      </c>
      <c r="M43">
        <v>0.89335500000000001</v>
      </c>
      <c r="N43">
        <v>0.89305299999999999</v>
      </c>
      <c r="O43">
        <v>0.89270000000000005</v>
      </c>
      <c r="P43">
        <v>0.89231199999999999</v>
      </c>
      <c r="Q43">
        <v>0.89185199999999998</v>
      </c>
      <c r="R43">
        <v>0.89127400000000001</v>
      </c>
      <c r="S43">
        <v>0.89129400000000003</v>
      </c>
      <c r="T43">
        <v>0.88977700000000004</v>
      </c>
      <c r="U43">
        <v>0.88831199999999999</v>
      </c>
      <c r="V43">
        <v>0.88603299999999996</v>
      </c>
      <c r="W43">
        <v>0.88278599999999996</v>
      </c>
    </row>
    <row r="44" spans="1:23" x14ac:dyDescent="0.25">
      <c r="A44" s="1"/>
    </row>
    <row r="45" spans="1:23" x14ac:dyDescent="0.25">
      <c r="G45" s="1"/>
      <c r="H45" s="1"/>
    </row>
    <row r="46" spans="1:23" x14ac:dyDescent="0.25">
      <c r="C46">
        <v>7.4</v>
      </c>
      <c r="D46">
        <v>7.4</v>
      </c>
      <c r="I46" t="s">
        <v>45</v>
      </c>
      <c r="J46" t="s">
        <v>24</v>
      </c>
    </row>
    <row r="47" spans="1:23" x14ac:dyDescent="0.25">
      <c r="C47">
        <v>0</v>
      </c>
      <c r="D47">
        <v>1200</v>
      </c>
      <c r="I47">
        <v>1544.47</v>
      </c>
      <c r="J47">
        <v>1.3743000000000001</v>
      </c>
    </row>
    <row r="48" spans="1:23" x14ac:dyDescent="0.25">
      <c r="C48">
        <v>0</v>
      </c>
      <c r="D48">
        <v>3000</v>
      </c>
      <c r="I48">
        <v>1562.09</v>
      </c>
      <c r="J48">
        <v>1.3896999999999999</v>
      </c>
    </row>
    <row r="49" spans="2:16" x14ac:dyDescent="0.25">
      <c r="C49">
        <v>0</v>
      </c>
      <c r="D49">
        <v>2.5</v>
      </c>
    </row>
    <row r="52" spans="2:16" x14ac:dyDescent="0.25">
      <c r="B52" s="1" t="s">
        <v>50</v>
      </c>
    </row>
    <row r="53" spans="2:16" x14ac:dyDescent="0.25">
      <c r="B53" s="16" t="s">
        <v>58</v>
      </c>
    </row>
    <row r="54" spans="2:16" x14ac:dyDescent="0.25">
      <c r="B54" s="1" t="s">
        <v>30</v>
      </c>
      <c r="C54">
        <v>100</v>
      </c>
      <c r="D54">
        <v>500</v>
      </c>
      <c r="E54">
        <v>1000</v>
      </c>
      <c r="F54">
        <v>1200</v>
      </c>
      <c r="G54">
        <v>1400</v>
      </c>
      <c r="H54">
        <v>1600</v>
      </c>
      <c r="I54">
        <v>1800</v>
      </c>
      <c r="J54">
        <v>2000</v>
      </c>
      <c r="K54">
        <v>2200</v>
      </c>
      <c r="L54">
        <v>2400</v>
      </c>
      <c r="M54">
        <v>2600</v>
      </c>
      <c r="N54">
        <v>2800</v>
      </c>
      <c r="O54" s="17">
        <v>2868.7778395427672</v>
      </c>
      <c r="P54">
        <v>3000</v>
      </c>
    </row>
    <row r="55" spans="2:16" x14ac:dyDescent="0.25">
      <c r="B55" s="1" t="s">
        <v>11</v>
      </c>
      <c r="C55">
        <f>-9.297319E-21*C54^6+9.748043E-17*C54^5-0.0000000000003707727*C54^4+0.0000000005830787*C54^3-0.0000003870538*C54^2+0.0009802723*C54-0.004723745</f>
        <v>8.9979913936981001E-2</v>
      </c>
      <c r="D55">
        <f t="shared" ref="D55:P55" si="29">-9.297319E-21*D54^6+9.748043E-17*D54^5-0.0000000000003707727*D54^4+0.0000000005830787*D54^3-0.0000003870538*D54^2+0.0009802723*D54-0.004723745</f>
        <v>0.441261491578125</v>
      </c>
      <c r="E55">
        <f t="shared" si="29"/>
        <v>0.88898386600000012</v>
      </c>
      <c r="F55">
        <f t="shared" si="29"/>
        <v>1.0677721236807041</v>
      </c>
      <c r="G55">
        <f t="shared" si="29"/>
        <v>1.2389082252092163</v>
      </c>
      <c r="H55">
        <f t="shared" si="29"/>
        <v>1.3974218600728967</v>
      </c>
      <c r="I55">
        <f t="shared" si="29"/>
        <v>1.5397400809949442</v>
      </c>
      <c r="J55">
        <f t="shared" si="29"/>
        <v>1.6642173990000007</v>
      </c>
      <c r="K55">
        <f t="shared" si="29"/>
        <v>1.7712374580202241</v>
      </c>
      <c r="L55">
        <f t="shared" si="29"/>
        <v>1.8628862890418565</v>
      </c>
      <c r="M55">
        <f t="shared" si="29"/>
        <v>1.9421971437922576</v>
      </c>
      <c r="N55">
        <f t="shared" si="29"/>
        <v>2.0119669079674245</v>
      </c>
      <c r="O55" s="17">
        <f>-9.297319E-21*O54^6+9.748043E-17*O54^5-0.0000000000003707727*O54^4+0.0000000005830787*O54^3-0.0000003870538*O54^2+0.0009802723*O54-0.004723745</f>
        <v>2.0340193199863075</v>
      </c>
      <c r="P55">
        <f t="shared" si="29"/>
        <v>2.073144094000003</v>
      </c>
    </row>
    <row r="56" spans="2:16" x14ac:dyDescent="0.25">
      <c r="B56" s="1" t="s">
        <v>1</v>
      </c>
      <c r="C56">
        <f>C55/0.27485827</f>
        <v>0.32736840676826279</v>
      </c>
      <c r="D56">
        <f t="shared" ref="D56:P56" si="30">D55/0.27485827</f>
        <v>1.6054146436202374</v>
      </c>
      <c r="E56">
        <f t="shared" si="30"/>
        <v>3.2343355213579712</v>
      </c>
      <c r="F56">
        <f t="shared" si="30"/>
        <v>3.8848098828560045</v>
      </c>
      <c r="G56">
        <f t="shared" si="30"/>
        <v>4.5074438735615132</v>
      </c>
      <c r="H56">
        <f t="shared" si="30"/>
        <v>5.0841543173246944</v>
      </c>
      <c r="I56">
        <f t="shared" si="30"/>
        <v>5.6019419790241134</v>
      </c>
      <c r="J56">
        <f t="shared" si="30"/>
        <v>6.0548201769588399</v>
      </c>
      <c r="K56">
        <f t="shared" si="30"/>
        <v>6.4441846993369492</v>
      </c>
      <c r="L56">
        <f t="shared" si="30"/>
        <v>6.7776250248604724</v>
      </c>
      <c r="M56">
        <f t="shared" si="30"/>
        <v>7.0661768474066928</v>
      </c>
      <c r="N56">
        <f t="shared" si="30"/>
        <v>7.3200159048058637</v>
      </c>
      <c r="O56" s="17">
        <f>O55/0.27485827</f>
        <v>7.4002478440481614</v>
      </c>
      <c r="P56">
        <f t="shared" si="30"/>
        <v>7.5425931117153686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J44" sqref="J44"/>
    </sheetView>
  </sheetViews>
  <sheetFormatPr defaultRowHeight="15" x14ac:dyDescent="0.25"/>
  <sheetData>
    <row r="1" spans="1:6" x14ac:dyDescent="0.25">
      <c r="C1" t="s">
        <v>45</v>
      </c>
      <c r="D1" t="s">
        <v>22</v>
      </c>
      <c r="E1" t="s">
        <v>46</v>
      </c>
      <c r="F1" t="s">
        <v>47</v>
      </c>
    </row>
    <row r="2" spans="1:6" x14ac:dyDescent="0.25">
      <c r="A2">
        <v>158.702</v>
      </c>
      <c r="C2">
        <v>100</v>
      </c>
      <c r="D2">
        <v>98.296999999999997</v>
      </c>
      <c r="E2">
        <f>D2*$A$2</f>
        <v>15599.930494</v>
      </c>
      <c r="F2">
        <f>E2/C2</f>
        <v>155.99930494</v>
      </c>
    </row>
    <row r="3" spans="1:6" x14ac:dyDescent="0.25">
      <c r="C3">
        <v>333.33</v>
      </c>
      <c r="D3">
        <v>327.65499999999997</v>
      </c>
      <c r="E3">
        <f t="shared" ref="E3:E7" si="0">D3*$A$2</f>
        <v>51999.503809999995</v>
      </c>
      <c r="F3">
        <f t="shared" ref="F3:F7" si="1">E3/C3</f>
        <v>156.00007143071429</v>
      </c>
    </row>
    <row r="4" spans="1:6" x14ac:dyDescent="0.25">
      <c r="C4">
        <v>500</v>
      </c>
      <c r="D4">
        <v>491.48700000000002</v>
      </c>
      <c r="E4">
        <f t="shared" si="0"/>
        <v>77999.969874000002</v>
      </c>
      <c r="F4">
        <f t="shared" si="1"/>
        <v>155.999939748</v>
      </c>
    </row>
    <row r="5" spans="1:6" x14ac:dyDescent="0.25">
      <c r="C5">
        <v>666.67</v>
      </c>
      <c r="D5">
        <v>655.32000000000005</v>
      </c>
      <c r="E5">
        <f t="shared" si="0"/>
        <v>104000.59464000001</v>
      </c>
      <c r="F5">
        <f t="shared" si="1"/>
        <v>156.00011195944023</v>
      </c>
    </row>
    <row r="6" spans="1:6" x14ac:dyDescent="0.25">
      <c r="C6">
        <v>936</v>
      </c>
      <c r="D6">
        <v>920.06399999999996</v>
      </c>
      <c r="E6">
        <f t="shared" si="0"/>
        <v>146015.99692799998</v>
      </c>
      <c r="F6">
        <f t="shared" si="1"/>
        <v>155.9999967179487</v>
      </c>
    </row>
    <row r="7" spans="1:6" x14ac:dyDescent="0.25">
      <c r="C7">
        <v>1378</v>
      </c>
      <c r="D7">
        <v>1354.539</v>
      </c>
      <c r="E7">
        <f t="shared" si="0"/>
        <v>214968.04837800001</v>
      </c>
      <c r="F7">
        <f t="shared" si="1"/>
        <v>156.00003510740203</v>
      </c>
    </row>
    <row r="12" spans="1:6" x14ac:dyDescent="0.25">
      <c r="C12" t="s">
        <v>49</v>
      </c>
      <c r="D12" t="s">
        <v>45</v>
      </c>
    </row>
    <row r="13" spans="1:6" ht="17.25" x14ac:dyDescent="0.25">
      <c r="C13">
        <f xml:space="preserve"> 0.000000000000094167*D13^4 - 0.00000000068436*D13^3 + 0.00000095721*D13^2 + 0.0033671*D13</f>
        <v>7.3996266695343396</v>
      </c>
      <c r="D13">
        <v>2511.7071381541314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K4" sqref="K4"/>
    </sheetView>
  </sheetViews>
  <sheetFormatPr defaultRowHeight="15" x14ac:dyDescent="0.25"/>
  <cols>
    <col min="7" max="7" width="9.140625" style="15"/>
  </cols>
  <sheetData>
    <row r="1" spans="1:12" x14ac:dyDescent="0.25">
      <c r="A1" t="s">
        <v>18</v>
      </c>
    </row>
    <row r="2" spans="1:12" x14ac:dyDescent="0.25">
      <c r="B2" t="s">
        <v>49</v>
      </c>
      <c r="C2">
        <v>1</v>
      </c>
      <c r="D2">
        <v>2</v>
      </c>
      <c r="E2">
        <v>3</v>
      </c>
      <c r="F2">
        <v>4</v>
      </c>
      <c r="G2" s="14">
        <v>4.7979055554872403</v>
      </c>
      <c r="H2">
        <v>5</v>
      </c>
      <c r="I2">
        <v>6</v>
      </c>
      <c r="J2">
        <v>7</v>
      </c>
      <c r="K2">
        <v>7.4</v>
      </c>
      <c r="L2">
        <v>8</v>
      </c>
    </row>
    <row r="3" spans="1:12" x14ac:dyDescent="0.25">
      <c r="B3" t="s">
        <v>51</v>
      </c>
      <c r="C3">
        <f>0.4472785*C2</f>
        <v>0.44727850000000002</v>
      </c>
      <c r="D3">
        <f t="shared" ref="D3:L3" si="0">0.4472785*D2</f>
        <v>0.89455700000000005</v>
      </c>
      <c r="E3">
        <f t="shared" si="0"/>
        <v>1.3418355000000002</v>
      </c>
      <c r="F3">
        <f t="shared" si="0"/>
        <v>1.7891140000000001</v>
      </c>
      <c r="G3" s="14">
        <f t="shared" si="0"/>
        <v>2.1459999999999999</v>
      </c>
      <c r="H3">
        <f t="shared" si="0"/>
        <v>2.2363925</v>
      </c>
      <c r="I3">
        <f t="shared" si="0"/>
        <v>2.6836710000000004</v>
      </c>
      <c r="J3">
        <f t="shared" si="0"/>
        <v>3.1309495000000003</v>
      </c>
      <c r="K3">
        <f t="shared" si="0"/>
        <v>3.3098609000000003</v>
      </c>
      <c r="L3">
        <f t="shared" si="0"/>
        <v>3.5782280000000002</v>
      </c>
    </row>
    <row r="4" spans="1:12" x14ac:dyDescent="0.25">
      <c r="B4" t="s">
        <v>45</v>
      </c>
      <c r="C4">
        <f>$B$26*($B$27+($B$28*C3))</f>
        <v>130.18131959138404</v>
      </c>
      <c r="D4">
        <f t="shared" ref="D4:G4" si="1">$B$26*($B$27+($B$28*D3))</f>
        <v>260.49874124516009</v>
      </c>
      <c r="E4">
        <f t="shared" si="1"/>
        <v>390.81616289893611</v>
      </c>
      <c r="F4">
        <f t="shared" si="1"/>
        <v>521.13358455271214</v>
      </c>
      <c r="G4" s="14">
        <f t="shared" si="1"/>
        <v>625.11457926703326</v>
      </c>
      <c r="H4">
        <f>$B$26*($B$27+($B$28*H3)+($B$29*(H3-$B$30)^3))</f>
        <v>651.45834649519725</v>
      </c>
      <c r="I4">
        <f>$B$26*($B$27+($B$28*I3)+($B$29*(I3-$B$30)^3))</f>
        <v>783.31320483233264</v>
      </c>
      <c r="J4">
        <f t="shared" ref="J4:L4" si="2">$B$26*($B$27+($B$28*J3)+($B$29*(J3-$B$30)^3))</f>
        <v>921.58222417298259</v>
      </c>
      <c r="K4">
        <f t="shared" si="2"/>
        <v>979.88102093568784</v>
      </c>
      <c r="L4">
        <f t="shared" si="2"/>
        <v>1071.6012257022412</v>
      </c>
    </row>
    <row r="7" spans="1:12" x14ac:dyDescent="0.25">
      <c r="A7" t="s">
        <v>52</v>
      </c>
    </row>
    <row r="8" spans="1:12" x14ac:dyDescent="0.25">
      <c r="B8" t="s">
        <v>49</v>
      </c>
      <c r="C8">
        <v>1</v>
      </c>
      <c r="D8">
        <v>2</v>
      </c>
      <c r="E8">
        <v>3</v>
      </c>
      <c r="F8">
        <v>4</v>
      </c>
      <c r="G8" s="14">
        <v>4.3528038218443923</v>
      </c>
      <c r="H8">
        <v>5</v>
      </c>
      <c r="I8">
        <v>6</v>
      </c>
      <c r="J8">
        <v>7</v>
      </c>
      <c r="K8">
        <v>7.4</v>
      </c>
      <c r="L8">
        <v>8</v>
      </c>
    </row>
    <row r="9" spans="1:12" x14ac:dyDescent="0.25">
      <c r="B9" t="s">
        <v>51</v>
      </c>
      <c r="C9">
        <f>0.5566527*C8</f>
        <v>0.5566527</v>
      </c>
      <c r="D9">
        <f t="shared" ref="D9:L9" si="3">0.5566527*D8</f>
        <v>1.1133054</v>
      </c>
      <c r="E9">
        <f t="shared" si="3"/>
        <v>1.6699581000000001</v>
      </c>
      <c r="F9">
        <f t="shared" si="3"/>
        <v>2.2266108</v>
      </c>
      <c r="G9" s="14">
        <f t="shared" si="3"/>
        <v>2.423</v>
      </c>
      <c r="H9">
        <f t="shared" si="3"/>
        <v>2.7832634999999999</v>
      </c>
      <c r="I9">
        <f t="shared" si="3"/>
        <v>3.3399162000000002</v>
      </c>
      <c r="J9">
        <f t="shared" si="3"/>
        <v>3.8965689000000001</v>
      </c>
      <c r="K9">
        <f t="shared" si="3"/>
        <v>4.1192299800000001</v>
      </c>
      <c r="L9">
        <f t="shared" si="3"/>
        <v>4.4532216</v>
      </c>
    </row>
    <row r="10" spans="1:12" x14ac:dyDescent="0.25">
      <c r="B10" t="s">
        <v>45</v>
      </c>
      <c r="C10">
        <f>$C$26*($C$27+($C$28*C9))</f>
        <v>103.39132895804224</v>
      </c>
      <c r="D10">
        <f t="shared" ref="D10:G10" si="4">$C$26*($C$27+($C$28*D9))</f>
        <v>207.05388288934049</v>
      </c>
      <c r="E10">
        <f t="shared" si="4"/>
        <v>310.71643682063876</v>
      </c>
      <c r="F10">
        <f t="shared" si="4"/>
        <v>414.37899075193695</v>
      </c>
      <c r="G10">
        <f t="shared" si="4"/>
        <v>450.95153596104939</v>
      </c>
      <c r="H10">
        <f>$C$26*($C$27+($C$28*H9)+($C$29*(H9-$C$30)^3))</f>
        <v>518.64497358604126</v>
      </c>
      <c r="I10">
        <f t="shared" ref="I10:L10" si="5">$C$26*($C$27+($C$28*I9)+($C$29*(I9-$C$30)^3))</f>
        <v>631.65252186609678</v>
      </c>
      <c r="J10">
        <f t="shared" si="5"/>
        <v>766.65967358342891</v>
      </c>
      <c r="K10">
        <f t="shared" si="5"/>
        <v>829.81411981108295</v>
      </c>
      <c r="L10">
        <f t="shared" si="5"/>
        <v>937.02221703394707</v>
      </c>
    </row>
    <row r="13" spans="1:12" x14ac:dyDescent="0.25">
      <c r="A13" t="s">
        <v>53</v>
      </c>
    </row>
    <row r="14" spans="1:12" x14ac:dyDescent="0.25">
      <c r="B14" t="s">
        <v>49</v>
      </c>
      <c r="C14">
        <v>1</v>
      </c>
      <c r="D14">
        <v>2</v>
      </c>
      <c r="E14">
        <v>3</v>
      </c>
      <c r="F14">
        <v>4</v>
      </c>
      <c r="G14" s="15">
        <v>5</v>
      </c>
      <c r="H14">
        <v>6</v>
      </c>
      <c r="I14">
        <v>7</v>
      </c>
      <c r="J14">
        <v>8</v>
      </c>
      <c r="K14">
        <v>7.4</v>
      </c>
      <c r="L14" s="14">
        <v>8.7413051853116688</v>
      </c>
    </row>
    <row r="15" spans="1:12" x14ac:dyDescent="0.25">
      <c r="B15" t="s">
        <v>51</v>
      </c>
      <c r="C15">
        <f>0.27478734*C14</f>
        <v>0.27478733999999999</v>
      </c>
      <c r="D15">
        <f t="shared" ref="D15:K15" si="6">0.27478734*D14</f>
        <v>0.54957467999999998</v>
      </c>
      <c r="E15">
        <f t="shared" si="6"/>
        <v>0.82436201999999992</v>
      </c>
      <c r="F15">
        <f t="shared" si="6"/>
        <v>1.09914936</v>
      </c>
      <c r="G15" s="15">
        <f t="shared" si="6"/>
        <v>1.3739367</v>
      </c>
      <c r="H15">
        <f t="shared" si="6"/>
        <v>1.6487240399999998</v>
      </c>
      <c r="I15">
        <f t="shared" si="6"/>
        <v>1.9235113799999999</v>
      </c>
      <c r="J15">
        <f t="shared" si="6"/>
        <v>2.1982987199999999</v>
      </c>
      <c r="K15">
        <f t="shared" si="6"/>
        <v>2.0334263159999999</v>
      </c>
      <c r="L15" s="14">
        <f>0.27478734*L14</f>
        <v>2.4020000000000006</v>
      </c>
    </row>
    <row r="16" spans="1:12" x14ac:dyDescent="0.25">
      <c r="B16" t="s">
        <v>45</v>
      </c>
      <c r="C16">
        <f>$D$26*($D$27+($D$28*C15))</f>
        <v>50.737368549474681</v>
      </c>
      <c r="D16">
        <f t="shared" ref="D16:L16" si="7">$D$26*($D$27+($D$28*D15))</f>
        <v>101.74008716303737</v>
      </c>
      <c r="E16">
        <f t="shared" si="7"/>
        <v>152.74280577660008</v>
      </c>
      <c r="F16">
        <f t="shared" si="7"/>
        <v>203.74552439016276</v>
      </c>
      <c r="G16">
        <f t="shared" si="7"/>
        <v>254.74824300372541</v>
      </c>
      <c r="H16">
        <f t="shared" si="7"/>
        <v>305.75096161728811</v>
      </c>
      <c r="I16">
        <f t="shared" si="7"/>
        <v>356.75368023085076</v>
      </c>
      <c r="J16">
        <f t="shared" si="7"/>
        <v>407.75639884441347</v>
      </c>
      <c r="K16">
        <f t="shared" si="7"/>
        <v>377.15476767627581</v>
      </c>
      <c r="L16">
        <f t="shared" si="7"/>
        <v>445.5649786176395</v>
      </c>
    </row>
    <row r="19" spans="1:12" x14ac:dyDescent="0.25">
      <c r="A19" t="s">
        <v>21</v>
      </c>
    </row>
    <row r="20" spans="1:12" x14ac:dyDescent="0.25">
      <c r="B20" t="s">
        <v>49</v>
      </c>
      <c r="C20">
        <v>1</v>
      </c>
      <c r="D20">
        <v>2</v>
      </c>
      <c r="E20">
        <v>3</v>
      </c>
      <c r="F20">
        <v>4</v>
      </c>
      <c r="H20">
        <v>5</v>
      </c>
      <c r="I20">
        <v>6</v>
      </c>
      <c r="J20">
        <v>7</v>
      </c>
      <c r="K20">
        <v>7.4</v>
      </c>
      <c r="L20">
        <v>8</v>
      </c>
    </row>
    <row r="21" spans="1:12" x14ac:dyDescent="0.25">
      <c r="B21" s="4" t="s">
        <v>24</v>
      </c>
      <c r="C21">
        <f>0.27485827*C20</f>
        <v>0.27485827000000002</v>
      </c>
      <c r="D21">
        <f t="shared" ref="D21:L21" si="8">0.27485827*D20</f>
        <v>0.54971654000000003</v>
      </c>
      <c r="E21">
        <f t="shared" si="8"/>
        <v>0.8245748100000001</v>
      </c>
      <c r="F21">
        <f t="shared" si="8"/>
        <v>1.0994330800000001</v>
      </c>
      <c r="H21">
        <f t="shared" si="8"/>
        <v>1.37429135</v>
      </c>
      <c r="I21">
        <f t="shared" si="8"/>
        <v>1.6491496200000002</v>
      </c>
      <c r="J21">
        <f t="shared" si="8"/>
        <v>1.9240078900000002</v>
      </c>
      <c r="K21">
        <f t="shared" si="8"/>
        <v>2.033951198</v>
      </c>
      <c r="L21">
        <f t="shared" si="8"/>
        <v>2.1988661600000001</v>
      </c>
    </row>
    <row r="22" spans="1:12" x14ac:dyDescent="0.25">
      <c r="B22" t="s">
        <v>45</v>
      </c>
      <c r="C22">
        <f>0.979151528*(-0.139+(297.56*C21))</f>
        <v>79.945594389857376</v>
      </c>
      <c r="D22">
        <f t="shared" ref="D22" si="9">0.979151528*(-0.139+(297.56*D21))</f>
        <v>160.02729084210674</v>
      </c>
      <c r="E22">
        <f t="shared" ref="E22" si="10">0.979151528*(-0.139+(297.56*E21))</f>
        <v>240.10898729435613</v>
      </c>
      <c r="F22">
        <f t="shared" ref="F22" si="11">0.979151528*(-0.139+(297.56*F21))</f>
        <v>320.19068374660549</v>
      </c>
      <c r="H22">
        <f>0.979151528*((-0.139+(297.56*H21))+(10.15*(H21-2.146)^3))</f>
        <v>395.70490652380545</v>
      </c>
      <c r="I22">
        <f t="shared" ref="I22" si="12">0.979151528*((-0.139+(297.56*I21))+(10.15*(I21-2.146)^3))</f>
        <v>479.13510718491005</v>
      </c>
      <c r="J22">
        <f t="shared" ref="J22:K22" si="13">0.979151528*((-0.139+(297.56*J21))+(10.15*(J21-2.146)^3))</f>
        <v>560.32704831633941</v>
      </c>
      <c r="K22">
        <f t="shared" si="13"/>
        <v>592.45447070469299</v>
      </c>
      <c r="L22">
        <f t="shared" ref="L22" si="14">0.979151528*((-0.139+(297.56*L21))+(10.15*(L21-2.146)^3))</f>
        <v>640.51893797207072</v>
      </c>
    </row>
    <row r="25" spans="1:12" x14ac:dyDescent="0.25">
      <c r="B25" t="s">
        <v>18</v>
      </c>
      <c r="C25" t="s">
        <v>52</v>
      </c>
      <c r="D25" t="s">
        <v>53</v>
      </c>
    </row>
    <row r="26" spans="1:12" x14ac:dyDescent="0.25">
      <c r="A26" s="1" t="s">
        <v>47</v>
      </c>
      <c r="B26">
        <v>0.97915152800000005</v>
      </c>
      <c r="C26">
        <v>0.97915152800000005</v>
      </c>
      <c r="D26">
        <v>0.97915152800000005</v>
      </c>
    </row>
    <row r="27" spans="1:12" x14ac:dyDescent="0.25">
      <c r="A27" s="1" t="s">
        <v>54</v>
      </c>
      <c r="B27">
        <v>-0.13900000000000001</v>
      </c>
      <c r="C27">
        <v>-0.27700000000000002</v>
      </c>
      <c r="D27">
        <v>-0.27100000000000002</v>
      </c>
    </row>
    <row r="28" spans="1:12" x14ac:dyDescent="0.25">
      <c r="A28" s="1" t="s">
        <v>55</v>
      </c>
      <c r="B28">
        <v>297.56</v>
      </c>
      <c r="C28">
        <v>190.19</v>
      </c>
      <c r="D28">
        <v>189.56</v>
      </c>
    </row>
    <row r="29" spans="1:12" x14ac:dyDescent="0.25">
      <c r="A29" s="1" t="s">
        <v>56</v>
      </c>
      <c r="B29">
        <v>10.15</v>
      </c>
      <c r="C29">
        <v>13.18</v>
      </c>
      <c r="D29">
        <v>12.84</v>
      </c>
    </row>
    <row r="30" spans="1:12" x14ac:dyDescent="0.25">
      <c r="A30" s="1" t="s">
        <v>57</v>
      </c>
      <c r="B30">
        <v>2.1459999999999999</v>
      </c>
      <c r="C30">
        <v>2.423</v>
      </c>
      <c r="D30">
        <v>2.4020000000000001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5</vt:i4>
      </vt:variant>
    </vt:vector>
  </HeadingPairs>
  <TitlesOfParts>
    <vt:vector size="8" baseType="lpstr">
      <vt:lpstr>HMS-Data</vt:lpstr>
      <vt:lpstr>Sheet2</vt:lpstr>
      <vt:lpstr>Golden tune 2003</vt:lpstr>
      <vt:lpstr>Q1-IvsG</vt:lpstr>
      <vt:lpstr>Q2-IvsG</vt:lpstr>
      <vt:lpstr>Q3-IvsG</vt:lpstr>
      <vt:lpstr>Dipole-BvsG</vt:lpstr>
      <vt:lpstr>Dipole-IvsG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lassiter</dc:creator>
  <cp:lastModifiedBy>lassiter</cp:lastModifiedBy>
  <dcterms:created xsi:type="dcterms:W3CDTF">2014-06-09T14:58:47Z</dcterms:created>
  <dcterms:modified xsi:type="dcterms:W3CDTF">2016-08-17T13:12:10Z</dcterms:modified>
</cp:coreProperties>
</file>